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tmp\"/>
    </mc:Choice>
  </mc:AlternateContent>
  <xr:revisionPtr revIDLastSave="0" documentId="8_{66C985B8-6F26-402B-83B5-2BDB5283465F}" xr6:coauthVersionLast="36" xr6:coauthVersionMax="36" xr10:uidLastSave="{00000000-0000-0000-0000-000000000000}"/>
  <bookViews>
    <workbookView xWindow="55245" yWindow="1650" windowWidth="16395" windowHeight="15435" xr2:uid="{00000000-000D-0000-FFFF-FFFF00000000}"/>
  </bookViews>
  <sheets>
    <sheet name="Chefblatt 01" sheetId="1" r:id="rId1"/>
    <sheet name="Stammdaten" sheetId="4" state="hidden" r:id="rId2"/>
  </sheets>
  <definedNames>
    <definedName name="AktuellerMonat">'Chefblatt 01'!$C$4</definedName>
    <definedName name="AktuellesJahr">'Chefblatt 01'!$C$3</definedName>
    <definedName name="AktuellesJahrKalkuliert">'Chefblatt 01'!$E$3</definedName>
    <definedName name="_xlnm.Print_Area" localSheetId="0">'Chefblatt 01'!$A$8:$M$63</definedName>
    <definedName name="_xlnm.Print_Titles" localSheetId="0">'Chefblatt 01'!$8:$8</definedName>
    <definedName name="Filiale">'Chefblatt 01'!$B$2</definedName>
    <definedName name="Filialen">Stammdaten!$D$4:$E$7</definedName>
    <definedName name="LKW">Stammdaten!$H$17</definedName>
    <definedName name="Mandant">'Chefblatt 01'!$B$1</definedName>
    <definedName name="Monate">Stammdaten!$A$4:$B$15</definedName>
    <definedName name="PKW">Stammdaten!$H$16</definedName>
    <definedName name="TRAPO">Stammdaten!$H$18</definedName>
    <definedName name="TZLKW">Stammdaten!$H$11</definedName>
    <definedName name="TZPKW">Stammdaten!$H$10</definedName>
    <definedName name="TZTRAPO">Stammdaten!$H$12</definedName>
    <definedName name="VERKAUFGFLKW">Stammdaten!$H$8</definedName>
    <definedName name="VERKAUFGFPKW">Stammdaten!$H$7</definedName>
    <definedName name="VERKAUFGFTRAPO">Stammdaten!$H$9</definedName>
    <definedName name="VERKAUFNFLKW">Stammdaten!$H$5</definedName>
    <definedName name="VERKAUFNFPKW">Stammdaten!$H$4</definedName>
    <definedName name="VERKAUFNFTRAPO">Stammdaten!$H$6</definedName>
    <definedName name="Vorjahr">'Chefblatt 01'!$D$3</definedName>
    <definedName name="VorJahrKalkuliert">'Chefblatt 01'!$E$4</definedName>
    <definedName name="VorMonat">'Chefblatt 01'!$D$4</definedName>
    <definedName name="WSLKW">Stammdaten!$H$14</definedName>
    <definedName name="WSPKW">Stammdaten!$H$13</definedName>
    <definedName name="WSTRAPO">Stammdaten!$H$15</definedName>
  </definedNames>
  <calcPr calcId="179021" calcMode="manual"/>
</workbook>
</file>

<file path=xl/calcChain.xml><?xml version="1.0" encoding="utf-8"?>
<calcChain xmlns="http://schemas.openxmlformats.org/spreadsheetml/2006/main">
  <c r="E3" i="1" l="1"/>
  <c r="I8" i="1" s="1"/>
  <c r="D4" i="1"/>
  <c r="C4" i="1"/>
  <c r="M8" i="1" s="1"/>
  <c r="C3" i="1"/>
  <c r="D3" i="1"/>
  <c r="E4" i="1"/>
  <c r="F8" i="1"/>
  <c r="L14" i="1"/>
  <c r="F47" i="1"/>
  <c r="I58" i="1"/>
  <c r="F61" i="1"/>
  <c r="I52" i="1"/>
  <c r="F44" i="1"/>
  <c r="L61" i="1"/>
  <c r="L28" i="1"/>
  <c r="F55" i="1"/>
  <c r="F22" i="1"/>
  <c r="L12" i="1"/>
  <c r="I17" i="1"/>
  <c r="L36" i="1"/>
  <c r="L17" i="1"/>
  <c r="I55" i="1"/>
  <c r="F23" i="1"/>
  <c r="I14" i="1"/>
  <c r="F56" i="1"/>
  <c r="J44" i="1"/>
  <c r="G53" i="1"/>
  <c r="F28" i="1"/>
  <c r="G55" i="1"/>
  <c r="I34" i="1"/>
  <c r="L11" i="1"/>
  <c r="I47" i="1"/>
  <c r="F17" i="1"/>
  <c r="G12" i="1"/>
  <c r="L55" i="1"/>
  <c r="I59" i="1"/>
  <c r="F12" i="1"/>
  <c r="F52" i="1"/>
  <c r="I23" i="1"/>
  <c r="F59" i="1"/>
  <c r="I12" i="1"/>
  <c r="L62" i="1"/>
  <c r="I62" i="1"/>
  <c r="F34" i="1"/>
  <c r="L34" i="1"/>
  <c r="L25" i="1"/>
  <c r="I45" i="1"/>
  <c r="I56" i="1"/>
  <c r="L53" i="1"/>
  <c r="I33" i="1"/>
  <c r="F39" i="1"/>
  <c r="I22" i="1"/>
  <c r="L59" i="1"/>
  <c r="I53" i="1"/>
  <c r="M36" i="1"/>
  <c r="I44" i="1"/>
  <c r="L58" i="1"/>
  <c r="J61" i="1"/>
  <c r="M11" i="1"/>
  <c r="F53" i="1"/>
  <c r="M44" i="1"/>
  <c r="J17" i="1"/>
  <c r="I61" i="1"/>
  <c r="L23" i="1"/>
  <c r="L39" i="1"/>
  <c r="F36" i="1"/>
  <c r="I25" i="1"/>
  <c r="L44" i="1"/>
  <c r="I28" i="1"/>
  <c r="F25" i="1"/>
  <c r="F62" i="1"/>
  <c r="L47" i="1"/>
  <c r="I11" i="1"/>
  <c r="M22" i="1"/>
  <c r="F33" i="1"/>
  <c r="L33" i="1"/>
  <c r="G33" i="1"/>
  <c r="I36" i="1"/>
  <c r="J52" i="1"/>
  <c r="G23" i="1"/>
  <c r="L22" i="1"/>
  <c r="M23" i="1"/>
  <c r="J47" i="1"/>
  <c r="G62" i="1"/>
  <c r="M58" i="1"/>
  <c r="I39" i="1"/>
  <c r="G11" i="1"/>
  <c r="F14" i="1"/>
  <c r="F11" i="1"/>
  <c r="G14" i="1"/>
  <c r="L8" i="1" l="1"/>
  <c r="C62" i="1"/>
  <c r="C53" i="1"/>
  <c r="C59" i="1"/>
  <c r="C28" i="1"/>
  <c r="C55" i="1"/>
  <c r="C61" i="1"/>
  <c r="J8" i="1"/>
  <c r="G8" i="1"/>
  <c r="C8" i="1"/>
  <c r="D8" i="1"/>
  <c r="C36" i="1"/>
  <c r="C17" i="1"/>
  <c r="C39" i="1"/>
  <c r="C14" i="1"/>
  <c r="C25" i="1"/>
  <c r="C44" i="1"/>
  <c r="C47" i="1"/>
  <c r="C33" i="1"/>
  <c r="C22" i="1"/>
  <c r="M24" i="1"/>
  <c r="C11" i="1"/>
  <c r="L35" i="1"/>
  <c r="I46" i="1"/>
  <c r="F24" i="1"/>
  <c r="C24" i="1" s="1"/>
  <c r="F13" i="1"/>
  <c r="L13" i="1"/>
  <c r="C13" i="1" s="1"/>
  <c r="I24" i="1"/>
  <c r="I35" i="1"/>
  <c r="F35" i="1"/>
  <c r="L24" i="1"/>
  <c r="I13" i="1"/>
  <c r="C34" i="1"/>
  <c r="C23" i="1"/>
  <c r="C12" i="1"/>
  <c r="I63" i="1"/>
  <c r="I54" i="1"/>
  <c r="F57" i="1"/>
  <c r="L63" i="1"/>
  <c r="I57" i="1"/>
  <c r="I60" i="1"/>
  <c r="F54" i="1"/>
  <c r="L60" i="1"/>
  <c r="F63" i="1"/>
  <c r="M14" i="1"/>
  <c r="G36" i="1"/>
  <c r="J33" i="1"/>
  <c r="G17" i="1"/>
  <c r="F58" i="1"/>
  <c r="M17" i="1"/>
  <c r="J58" i="1"/>
  <c r="J48" i="1"/>
  <c r="G22" i="1"/>
  <c r="M53" i="1"/>
  <c r="J37" i="1"/>
  <c r="G26" i="1"/>
  <c r="M34" i="1"/>
  <c r="M28" i="1"/>
  <c r="J23" i="1"/>
  <c r="J36" i="1"/>
  <c r="M61" i="1"/>
  <c r="I29" i="1"/>
  <c r="F26" i="1"/>
  <c r="I40" i="1"/>
  <c r="I26" i="1"/>
  <c r="G40" i="1"/>
  <c r="J18" i="1"/>
  <c r="M18" i="1"/>
  <c r="J12" i="1"/>
  <c r="J39" i="1"/>
  <c r="M48" i="1"/>
  <c r="L52" i="1"/>
  <c r="L56" i="1"/>
  <c r="M15" i="1"/>
  <c r="G37" i="1"/>
  <c r="G15" i="1"/>
  <c r="J15" i="1"/>
  <c r="G47" i="1"/>
  <c r="J59" i="1"/>
  <c r="M33" i="1"/>
  <c r="M55" i="1"/>
  <c r="J28" i="1"/>
  <c r="M45" i="1"/>
  <c r="G59" i="1"/>
  <c r="G56" i="1"/>
  <c r="I48" i="1"/>
  <c r="L48" i="1"/>
  <c r="L15" i="1"/>
  <c r="F48" i="1"/>
  <c r="I37" i="1"/>
  <c r="L26" i="1"/>
  <c r="I15" i="1"/>
  <c r="L29" i="1"/>
  <c r="M29" i="1"/>
  <c r="G61" i="1"/>
  <c r="M59" i="1"/>
  <c r="G58" i="1"/>
  <c r="J22" i="1"/>
  <c r="G25" i="1"/>
  <c r="J34" i="1"/>
  <c r="G48" i="1"/>
  <c r="J56" i="1"/>
  <c r="M12" i="1"/>
  <c r="M56" i="1"/>
  <c r="J55" i="1"/>
  <c r="J53" i="1"/>
  <c r="G52" i="1"/>
  <c r="G44" i="1"/>
  <c r="M26" i="1"/>
  <c r="J26" i="1"/>
  <c r="M52" i="1"/>
  <c r="M40" i="1"/>
  <c r="L45" i="1"/>
  <c r="G18" i="1"/>
  <c r="F18" i="1"/>
  <c r="J29" i="1"/>
  <c r="F40" i="1"/>
  <c r="L40" i="1"/>
  <c r="G45" i="1"/>
  <c r="G39" i="1"/>
  <c r="J45" i="1"/>
  <c r="M25" i="1"/>
  <c r="J25" i="1"/>
  <c r="J14" i="1"/>
  <c r="J11" i="1"/>
  <c r="M39" i="1"/>
  <c r="M62" i="1"/>
  <c r="G28" i="1"/>
  <c r="M47" i="1"/>
  <c r="J62" i="1"/>
  <c r="G34" i="1"/>
  <c r="M37" i="1"/>
  <c r="F37" i="1"/>
  <c r="F29" i="1"/>
  <c r="F45" i="1"/>
  <c r="F15" i="1"/>
  <c r="J40" i="1"/>
  <c r="L37" i="1"/>
  <c r="L18" i="1"/>
  <c r="I18" i="1"/>
  <c r="G29" i="1"/>
  <c r="C63" i="1" l="1"/>
  <c r="C35" i="1"/>
  <c r="D29" i="1"/>
  <c r="I19" i="1"/>
  <c r="C18" i="1"/>
  <c r="L19" i="1"/>
  <c r="L38" i="1"/>
  <c r="F16" i="1"/>
  <c r="C15" i="1"/>
  <c r="C45" i="1"/>
  <c r="F46" i="1"/>
  <c r="C29" i="1"/>
  <c r="F30" i="1"/>
  <c r="F38" i="1"/>
  <c r="C37" i="1"/>
  <c r="M38" i="1"/>
  <c r="G13" i="1"/>
  <c r="D11" i="1"/>
  <c r="D34" i="1"/>
  <c r="G35" i="1"/>
  <c r="D62" i="1"/>
  <c r="J63" i="1"/>
  <c r="M49" i="1"/>
  <c r="D28" i="1"/>
  <c r="G30" i="1"/>
  <c r="M41" i="1"/>
  <c r="J13" i="1"/>
  <c r="J16" i="1"/>
  <c r="J27" i="1"/>
  <c r="M27" i="1"/>
  <c r="J46" i="1"/>
  <c r="G41" i="1"/>
  <c r="D41" i="1" s="1"/>
  <c r="D39" i="1"/>
  <c r="D45" i="1"/>
  <c r="L41" i="1"/>
  <c r="C40" i="1"/>
  <c r="F41" i="1"/>
  <c r="F19" i="1"/>
  <c r="L46" i="1"/>
  <c r="M54" i="1"/>
  <c r="D44" i="1"/>
  <c r="G46" i="1"/>
  <c r="D52" i="1"/>
  <c r="G54" i="1"/>
  <c r="D54" i="1" s="1"/>
  <c r="D53" i="1"/>
  <c r="J54" i="1"/>
  <c r="J57" i="1"/>
  <c r="D55" i="1"/>
  <c r="M13" i="1"/>
  <c r="D48" i="1"/>
  <c r="G27" i="1"/>
  <c r="D27" i="1" s="1"/>
  <c r="D25" i="1"/>
  <c r="J24" i="1"/>
  <c r="D58" i="1"/>
  <c r="G60" i="1"/>
  <c r="G16" i="1"/>
  <c r="D14" i="1"/>
  <c r="M60" i="1"/>
  <c r="D61" i="1"/>
  <c r="G63" i="1"/>
  <c r="L30" i="1"/>
  <c r="I16" i="1"/>
  <c r="L27" i="1"/>
  <c r="I38" i="1"/>
  <c r="F49" i="1"/>
  <c r="C48" i="1"/>
  <c r="L16" i="1"/>
  <c r="L49" i="1"/>
  <c r="I49" i="1"/>
  <c r="D56" i="1"/>
  <c r="G57" i="1"/>
  <c r="D59" i="1"/>
  <c r="M46" i="1"/>
  <c r="J30" i="1"/>
  <c r="M57" i="1"/>
  <c r="M35" i="1"/>
  <c r="G49" i="1"/>
  <c r="D47" i="1"/>
  <c r="D15" i="1"/>
  <c r="D37" i="1"/>
  <c r="C56" i="1"/>
  <c r="L57" i="1"/>
  <c r="C52" i="1"/>
  <c r="L54" i="1"/>
  <c r="C54" i="1" s="1"/>
  <c r="J41" i="1"/>
  <c r="D12" i="1"/>
  <c r="D18" i="1"/>
  <c r="J19" i="1"/>
  <c r="D40" i="1"/>
  <c r="I27" i="1"/>
  <c r="I41" i="1"/>
  <c r="F27" i="1"/>
  <c r="C27" i="1" s="1"/>
  <c r="C26" i="1"/>
  <c r="I30" i="1"/>
  <c r="M63" i="1"/>
  <c r="J38" i="1"/>
  <c r="D23" i="1"/>
  <c r="M30" i="1"/>
  <c r="D26" i="1"/>
  <c r="D22" i="1"/>
  <c r="G24" i="1"/>
  <c r="D24" i="1" s="1"/>
  <c r="J49" i="1"/>
  <c r="J60" i="1"/>
  <c r="D17" i="1"/>
  <c r="M19" i="1"/>
  <c r="C58" i="1"/>
  <c r="F60" i="1"/>
  <c r="C60" i="1" s="1"/>
  <c r="G19" i="1"/>
  <c r="J35" i="1"/>
  <c r="D33" i="1"/>
  <c r="G38" i="1"/>
  <c r="D36" i="1"/>
  <c r="M16" i="1"/>
  <c r="C57" i="1"/>
  <c r="C30" i="1"/>
  <c r="C41" i="1"/>
  <c r="D19" i="1" l="1"/>
  <c r="D16" i="1"/>
  <c r="D38" i="1"/>
  <c r="D57" i="1"/>
  <c r="D46" i="1"/>
  <c r="C19" i="1"/>
  <c r="C38" i="1"/>
  <c r="D49" i="1"/>
  <c r="C49" i="1"/>
  <c r="D30" i="1"/>
  <c r="D13" i="1"/>
  <c r="D63" i="1"/>
  <c r="D35" i="1"/>
  <c r="C16" i="1"/>
  <c r="D60" i="1"/>
  <c r="C46" i="1"/>
</calcChain>
</file>

<file path=xl/sharedStrings.xml><?xml version="1.0" encoding="utf-8"?>
<sst xmlns="http://schemas.openxmlformats.org/spreadsheetml/2006/main" count="123" uniqueCount="80">
  <si>
    <t>Mandant</t>
  </si>
  <si>
    <t>Filiale</t>
  </si>
  <si>
    <t>*</t>
  </si>
  <si>
    <t>Aktuelles Jahr</t>
  </si>
  <si>
    <t>Aktueller Monat</t>
  </si>
  <si>
    <t>Gesamt</t>
  </si>
  <si>
    <t>PKW</t>
  </si>
  <si>
    <t>TRAPO</t>
  </si>
  <si>
    <t>LKW</t>
  </si>
  <si>
    <t>Neuwagen</t>
  </si>
  <si>
    <t>Absatz</t>
  </si>
  <si>
    <t>ABSNF_8????1</t>
  </si>
  <si>
    <t>ABSNF_8????3</t>
  </si>
  <si>
    <t>ABSNF_8????2</t>
  </si>
  <si>
    <t xml:space="preserve">  Vorjahr</t>
  </si>
  <si>
    <t xml:space="preserve">  Abweichung</t>
  </si>
  <si>
    <t>Umsatz</t>
  </si>
  <si>
    <t>Deckungsbeitrag I</t>
  </si>
  <si>
    <t>Gebrauchtwagen</t>
  </si>
  <si>
    <t>ABSGF_8????1</t>
  </si>
  <si>
    <t>ABSGF_8????3</t>
  </si>
  <si>
    <t>ABSGF_8????2</t>
  </si>
  <si>
    <t>Werkstatt</t>
  </si>
  <si>
    <t>AW</t>
  </si>
  <si>
    <t>AWE_?_???_?1</t>
  </si>
  <si>
    <t>AWE_?_???_?3</t>
  </si>
  <si>
    <t>AWE_?_???_?2</t>
  </si>
  <si>
    <t>Teile/Zubehör</t>
  </si>
  <si>
    <t>Unternehmen</t>
  </si>
  <si>
    <t>Umsatz (ohne Verm.)</t>
  </si>
  <si>
    <t>Bruttoertrag</t>
  </si>
  <si>
    <t>InterCompanyProfit</t>
  </si>
  <si>
    <t>Monat</t>
  </si>
  <si>
    <t>Bezeichnung</t>
  </si>
  <si>
    <t>Kostenstelle/n</t>
  </si>
  <si>
    <t>Januar</t>
  </si>
  <si>
    <t>alle</t>
  </si>
  <si>
    <t>VERKAUFNFPKW</t>
  </si>
  <si>
    <t>111*</t>
  </si>
  <si>
    <t>Februar</t>
  </si>
  <si>
    <t>Speyer</t>
  </si>
  <si>
    <t>VERKAUFNFLKW</t>
  </si>
  <si>
    <t>121*</t>
  </si>
  <si>
    <t>März</t>
  </si>
  <si>
    <t>Mannheim</t>
  </si>
  <si>
    <t>VERKAUFNFTRAPO</t>
  </si>
  <si>
    <t>131*</t>
  </si>
  <si>
    <t>April</t>
  </si>
  <si>
    <t>Ludwigshafen</t>
  </si>
  <si>
    <t>VERKAUFGFPKW</t>
  </si>
  <si>
    <t>112*</t>
  </si>
  <si>
    <t>Mai</t>
  </si>
  <si>
    <t>Vechta</t>
  </si>
  <si>
    <t>VERKAUFGFLKW</t>
  </si>
  <si>
    <t>122*</t>
  </si>
  <si>
    <t>Juni</t>
  </si>
  <si>
    <t>VERKAUFGFTRAPO</t>
  </si>
  <si>
    <t>132*</t>
  </si>
  <si>
    <t>Juli</t>
  </si>
  <si>
    <t>TZPKW</t>
  </si>
  <si>
    <t>21?1*</t>
  </si>
  <si>
    <t>August</t>
  </si>
  <si>
    <t>TZLKW</t>
  </si>
  <si>
    <t>21?2*</t>
  </si>
  <si>
    <t>September</t>
  </si>
  <si>
    <t>TZTRAPO</t>
  </si>
  <si>
    <t>21?3*</t>
  </si>
  <si>
    <t>Oktober</t>
  </si>
  <si>
    <t>WSPKW</t>
  </si>
  <si>
    <t>2221*,2241*,2251*</t>
  </si>
  <si>
    <t>November</t>
  </si>
  <si>
    <t>WSLKW</t>
  </si>
  <si>
    <t>2232*,2242*,2252*</t>
  </si>
  <si>
    <t>Dezember</t>
  </si>
  <si>
    <t>WSTRAPO</t>
  </si>
  <si>
    <t>2223*,2233*,2243*,2253*</t>
  </si>
  <si>
    <t>111*,112*,21?1*,2221*,2241*,2251*</t>
  </si>
  <si>
    <t>121*,122*,21?2*,2232*,2242*,2252*</t>
  </si>
  <si>
    <t>131*,132*,21?3*,2223*,2233*,2243*,2253*</t>
  </si>
  <si>
    <t>V.24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</si>
</sst>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\ &quot;€&quot;"/>
    <numFmt numFmtId="166" formatCode="_-* #,##0\ [$€-407]_-;\-* #,##0\ [$€-407]_-;_-* &quot;-&quot;??\ [$€-407]_-;_-@_-"/>
  </numFmts>
  <fonts count="11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scheme val="minor"/>
    </font>
    <font>
      <sz val="11"/>
      <color theme="3"/>
      <name val="Calibri"/>
      <scheme val="minor"/>
    </font>
    <font>
      <sz val="11"/>
      <color rgb="FFFFFFFF"/>
      <name val="Calibri"/>
      <scheme val="minor"/>
    </font>
    <font>
      <sz val="11"/>
      <color theme="4"/>
      <name val="Calibri"/>
      <scheme val="minor"/>
    </font>
    <font>
      <b/>
      <sz val="12"/>
      <color theme="4" tint="-0.249977111117893"/>
      <name val="Calibri"/>
      <scheme val="minor"/>
    </font>
    <font>
      <b/>
      <sz val="11"/>
      <color theme="4"/>
      <name val="Calibri"/>
      <scheme val="minor"/>
    </font>
    <font>
      <sz val="11"/>
      <color theme="6" tint="-0.249977111117893"/>
      <name val="Calibri"/>
      <scheme val="minor"/>
    </font>
    <font>
      <sz val="11"/>
      <color theme="2" tint="-0.249977111117893"/>
      <name val="Calibri"/>
      <scheme val="minor"/>
    </font>
    <font>
      <sz val="11"/>
      <color rgb="FF006100"/>
      <name val="Calibri"/>
      <scheme val="minor"/>
    </font>
    <font>
      <sz val="11"/>
      <color theme="4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ck">
        <color rgb="FF548DD4"/>
      </top>
      <bottom style="thick">
        <color rgb="FF548DD4"/>
      </bottom>
      <diagonal/>
    </border>
    <border>
      <left/>
      <right/>
      <top style="thin">
        <color rgb="FF548DD4"/>
      </top>
      <bottom style="thin">
        <color rgb="FF548DD4"/>
      </bottom>
      <diagonal/>
    </border>
    <border>
      <left/>
      <right/>
      <top style="thin">
        <color theme="4" tint="0.39994506668294322"/>
      </top>
      <bottom/>
      <diagonal/>
    </border>
  </borders>
  <cellStyleXfs count="2">
    <xf numFmtId="0" fontId="0" fillId="0" borderId="0"/>
    <xf numFmtId="0" fontId="9" fillId="4" borderId="0" applyNumberFormat="0" applyBorder="0" applyAlignment="0" applyProtection="0"/>
  </cellStyleXfs>
  <cellXfs count="40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1" fillId="2" borderId="1" xfId="1" applyFont="1" applyFill="1" applyBorder="1"/>
    <xf numFmtId="0" fontId="2" fillId="0" borderId="0" xfId="0" applyFont="1"/>
    <xf numFmtId="0" fontId="1" fillId="2" borderId="2" xfId="1" applyFont="1" applyFill="1" applyBorder="1" applyAlignment="1">
      <alignment horizontal="right"/>
    </xf>
    <xf numFmtId="0" fontId="3" fillId="0" borderId="3" xfId="0" applyNumberFormat="1" applyFont="1" applyBorder="1" applyAlignment="1"/>
    <xf numFmtId="0" fontId="3" fillId="0" borderId="0" xfId="0" applyNumberFormat="1" applyFont="1" applyBorder="1" applyAlignment="1"/>
    <xf numFmtId="0" fontId="1" fillId="2" borderId="2" xfId="1" applyFont="1" applyFill="1" applyBorder="1"/>
    <xf numFmtId="0" fontId="3" fillId="0" borderId="3" xfId="0" quotePrefix="1" applyNumberFormat="1" applyFont="1" applyBorder="1" applyAlignment="1"/>
    <xf numFmtId="0" fontId="0" fillId="0" borderId="0" xfId="0" applyBorder="1"/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/>
    <xf numFmtId="0" fontId="5" fillId="0" borderId="0" xfId="0" applyFont="1" applyBorder="1" applyAlignment="1"/>
    <xf numFmtId="0" fontId="0" fillId="0" borderId="0" xfId="0" applyFont="1" applyBorder="1" applyAlignment="1"/>
    <xf numFmtId="0" fontId="4" fillId="0" borderId="5" xfId="0" applyFont="1" applyBorder="1" applyAlignment="1"/>
    <xf numFmtId="0" fontId="0" fillId="0" borderId="5" xfId="0" applyFont="1" applyBorder="1" applyAlignment="1"/>
    <xf numFmtId="164" fontId="0" fillId="0" borderId="5" xfId="0" applyNumberFormat="1" applyFont="1" applyBorder="1" applyAlignment="1"/>
    <xf numFmtId="0" fontId="7" fillId="0" borderId="5" xfId="0" applyFont="1" applyBorder="1" applyAlignment="1"/>
    <xf numFmtId="3" fontId="8" fillId="0" borderId="5" xfId="0" applyNumberFormat="1" applyFont="1" applyBorder="1" applyAlignment="1"/>
    <xf numFmtId="165" fontId="0" fillId="0" borderId="5" xfId="0" applyNumberFormat="1" applyFont="1" applyBorder="1" applyAlignment="1"/>
    <xf numFmtId="165" fontId="8" fillId="0" borderId="5" xfId="0" applyNumberFormat="1" applyFont="1" applyBorder="1" applyAlignment="1"/>
    <xf numFmtId="166" fontId="0" fillId="0" borderId="0" xfId="0" applyNumberFormat="1" applyFont="1" applyBorder="1" applyAlignment="1"/>
    <xf numFmtId="3" fontId="0" fillId="0" borderId="5" xfId="0" applyNumberFormat="1" applyFont="1" applyBorder="1" applyAlignment="1"/>
    <xf numFmtId="0" fontId="4" fillId="0" borderId="0" xfId="0" applyFont="1" applyBorder="1" applyAlignment="1"/>
    <xf numFmtId="165" fontId="0" fillId="0" borderId="0" xfId="0" applyNumberFormat="1" applyFont="1" applyBorder="1" applyAlignment="1"/>
    <xf numFmtId="0" fontId="7" fillId="0" borderId="0" xfId="0" applyFont="1" applyBorder="1" applyAlignment="1"/>
    <xf numFmtId="165" fontId="8" fillId="0" borderId="0" xfId="0" applyNumberFormat="1" applyFont="1" applyBorder="1" applyAlignment="1"/>
    <xf numFmtId="0" fontId="6" fillId="0" borderId="6" xfId="0" applyFont="1" applyBorder="1" applyAlignment="1">
      <alignment horizontal="left" vertical="center"/>
    </xf>
    <xf numFmtId="0" fontId="0" fillId="0" borderId="0" xfId="0" applyFont="1"/>
    <xf numFmtId="165" fontId="0" fillId="2" borderId="5" xfId="0" applyNumberFormat="1" applyFont="1" applyFill="1" applyBorder="1" applyAlignment="1"/>
    <xf numFmtId="165" fontId="8" fillId="2" borderId="5" xfId="0" applyNumberFormat="1" applyFont="1" applyFill="1" applyBorder="1" applyAlignment="1"/>
    <xf numFmtId="3" fontId="0" fillId="2" borderId="5" xfId="0" applyNumberFormat="1" applyFont="1" applyFill="1" applyBorder="1" applyAlignment="1"/>
    <xf numFmtId="3" fontId="8" fillId="2" borderId="5" xfId="0" applyNumberFormat="1" applyFont="1" applyFill="1" applyBorder="1" applyAlignment="1"/>
    <xf numFmtId="164" fontId="0" fillId="2" borderId="5" xfId="0" applyNumberFormat="1" applyFont="1" applyFill="1" applyBorder="1" applyAlignment="1"/>
    <xf numFmtId="0" fontId="10" fillId="0" borderId="0" xfId="0" applyFont="1" applyAlignment="1">
      <alignment horizontal="right"/>
    </xf>
  </cellXfs>
  <cellStyles count="2">
    <cellStyle name="Gut" xfId="1" builtinId="26"/>
    <cellStyle name="Standard" xfId="0" builtinId="0"/>
  </cellStyles>
  <dxfs count="2">
    <dxf>
      <font>
        <color rgb="FF00610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75"/>
  <sheetViews>
    <sheetView showGridLines="0" tabSelected="1" zoomScaleNormal="100" workbookViewId="0">
      <pane ySplit="8" topLeftCell="A9" activePane="bottomLeft" state="frozen"/>
      <selection pane="bottomLeft" activeCell="F12" sqref="F12"/>
    </sheetView>
  </sheetViews>
  <sheetFormatPr baseColWidth="10" defaultRowHeight="15" x14ac:dyDescent="0.25"/>
  <cols>
    <col min="1" max="1" width="17.85546875" bestFit="1" customWidth="1"/>
    <col min="2" max="2" width="8.5703125" customWidth="1"/>
    <col min="3" max="4" width="11.7109375" customWidth="1"/>
    <col min="5" max="5" width="7.85546875" customWidth="1"/>
    <col min="6" max="7" width="11.7109375" customWidth="1"/>
    <col min="8" max="8" width="7.85546875" customWidth="1"/>
    <col min="9" max="10" width="11.7109375" customWidth="1"/>
    <col min="11" max="11" width="7.85546875" customWidth="1"/>
    <col min="12" max="13" width="11.7109375" customWidth="1"/>
  </cols>
  <sheetData>
    <row r="1" spans="1:44" x14ac:dyDescent="0.25">
      <c r="A1" s="2" t="s">
        <v>0</v>
      </c>
      <c r="B1" s="3">
        <v>1</v>
      </c>
      <c r="C1" s="4"/>
      <c r="D1" s="4"/>
      <c r="E1" s="4"/>
      <c r="F1" s="4"/>
      <c r="G1" s="4"/>
      <c r="M1" s="39" t="s">
        <v>79</v>
      </c>
    </row>
    <row r="2" spans="1:44" x14ac:dyDescent="0.25">
      <c r="A2" s="2" t="s">
        <v>1</v>
      </c>
      <c r="B2" s="5" t="s">
        <v>2</v>
      </c>
      <c r="C2" s="6"/>
      <c r="D2" s="7"/>
      <c r="E2" s="7"/>
      <c r="F2" s="4"/>
      <c r="G2" s="4"/>
    </row>
    <row r="3" spans="1:44" x14ac:dyDescent="0.25">
      <c r="A3" s="2" t="s">
        <v>3</v>
      </c>
      <c r="B3" s="8">
        <v>2021</v>
      </c>
      <c r="C3" s="6">
        <f>B3</f>
        <v>2021</v>
      </c>
      <c r="D3" s="7">
        <f>AktuellesJahr-1</f>
        <v>2020</v>
      </c>
      <c r="E3" s="7">
        <f>IF(B4&lt;&gt;1,B3,B3-1)</f>
        <v>2021</v>
      </c>
      <c r="F3" s="4"/>
      <c r="G3" s="4"/>
    </row>
    <row r="4" spans="1:44" x14ac:dyDescent="0.25">
      <c r="A4" s="2" t="s">
        <v>4</v>
      </c>
      <c r="B4" s="8">
        <v>6</v>
      </c>
      <c r="C4" s="9" t="str">
        <f>RIGHT("0"&amp;B4,2)</f>
        <v>06</v>
      </c>
      <c r="D4" s="7" t="str">
        <f>IF(B4&lt;&gt;1,RIGHT("0"&amp;B4-1,2),12)</f>
        <v>05</v>
      </c>
      <c r="E4" s="7">
        <f>AktuellesJahrKalkuliert-1</f>
        <v>2020</v>
      </c>
      <c r="F4" s="4"/>
      <c r="G4" s="4"/>
    </row>
    <row r="7" spans="1:44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44" s="1" customFormat="1" ht="17.25" thickTop="1" thickBot="1" x14ac:dyDescent="0.3">
      <c r="A8" s="11"/>
      <c r="B8" s="12" t="s">
        <v>5</v>
      </c>
      <c r="C8" s="13" t="str">
        <f>"per " &amp; VorMonat &amp; "/" &amp;AktuellesJahrKalkuliert</f>
        <v>per 05/2021</v>
      </c>
      <c r="D8" s="13" t="str">
        <f>"in " &amp; AktuellerMonat &amp;"/"&amp;AktuellesJahr</f>
        <v>in 06/2021</v>
      </c>
      <c r="E8" s="14" t="s">
        <v>6</v>
      </c>
      <c r="F8" s="13" t="str">
        <f>"per " &amp; VorMonat &amp; "/" &amp;AktuellesJahrKalkuliert</f>
        <v>per 05/2021</v>
      </c>
      <c r="G8" s="13" t="str">
        <f>"in " &amp; AktuellerMonat &amp;"/"&amp;AktuellesJahr</f>
        <v>in 06/2021</v>
      </c>
      <c r="H8" s="12" t="s">
        <v>7</v>
      </c>
      <c r="I8" s="13" t="str">
        <f>"per " &amp; VorMonat &amp; "/" &amp;AktuellesJahrKalkuliert</f>
        <v>per 05/2021</v>
      </c>
      <c r="J8" s="13" t="str">
        <f>"in " &amp; AktuellerMonat &amp;"/"&amp;AktuellesJahr</f>
        <v>in 06/2021</v>
      </c>
      <c r="K8" s="14" t="s">
        <v>8</v>
      </c>
      <c r="L8" s="13" t="str">
        <f>"per " &amp; VorMonat &amp; "/" &amp;AktuellesJahrKalkuliert</f>
        <v>per 05/2021</v>
      </c>
      <c r="M8" s="13" t="str">
        <f>"in " &amp; AktuellerMonat &amp;"/"&amp;AktuellesJahr</f>
        <v>in 06/2021</v>
      </c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</row>
    <row r="9" spans="1:44" ht="17.25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</row>
    <row r="10" spans="1:44" ht="15.75" x14ac:dyDescent="0.25">
      <c r="A10" s="17" t="s">
        <v>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</row>
    <row r="11" spans="1:44" x14ac:dyDescent="0.25">
      <c r="A11" s="19" t="s">
        <v>10</v>
      </c>
      <c r="B11" s="20"/>
      <c r="C11" s="38">
        <f t="shared" ref="C11:D16" si="0">F11+I11+L11</f>
        <v>0</v>
      </c>
      <c r="D11" s="38">
        <f t="shared" si="0"/>
        <v>0</v>
      </c>
      <c r="E11" s="21"/>
      <c r="F11" s="21">
        <f>_xll.ITPMXL.Funktionen.IDSTATISTIKWERTMBAG(Mandant,AE11,AktuellesJahrKalkuliert&amp;"01",AktuellesJahrKalkuliert&amp; VorMonat,Filiale,"*","BB1,BB2,BB3,BB4,BB5,BB6,BB7,BB8,BB9,IST","*","*","*","*","*","*","*","*")</f>
        <v>0</v>
      </c>
      <c r="G11" s="21">
        <f>_xll.ITPMXL.Funktionen.IDSTATISTIKWERTMBAG(Mandant,AE11,AktuellesJahr&amp;AktuellerMonat,AktuellesJahr&amp;AktuellerMonat,Filiale,"*","BB1,BB2,BB3,BB4,BB5,BB6,BB7,BB8,BB9,IST","*","*","*","*","*","*","*","*")</f>
        <v>0</v>
      </c>
      <c r="H11" s="21"/>
      <c r="I11" s="21">
        <f>_xll.ITPMXL.Funktionen.IDSTATISTIKWERTMBAG(Mandant,AI11,AktuellesJahrKalkuliert&amp;"01",AktuellesJahrKalkuliert&amp; VorMonat,Filiale,"*","BB1,BB2,BB3,BB4,BB5,BB6,BB7,BB8,BB9,IST","*","*","*","*","*","*","*","*")</f>
        <v>0</v>
      </c>
      <c r="J11" s="21">
        <f>_xll.ITPMXL.Funktionen.IDSTATISTIKWERTMBAG(Mandant,AI11,AktuellesJahr&amp;AktuellerMonat,AktuellesJahr&amp;AktuellerMonat,Filiale,"*","BB1,BB2,BB3,BB4,BB5,BB6,BB7,BB8,BB9,IST","*","*","*","*","*","*","*","*")</f>
        <v>0</v>
      </c>
      <c r="K11" s="21"/>
      <c r="L11" s="21">
        <f>_xll.ITPMXL.Funktionen.IDSTATISTIKWERTMBAG(Mandant,AM11,AktuellesJahrKalkuliert&amp;"01",AktuellesJahrKalkuliert&amp; VorMonat,Filiale,"*","BB1,BB2,BB3,BB4,BB5,BB6,BB7,BB8,BB9,IST","*","*","*","*","*","*","*","*")</f>
        <v>0</v>
      </c>
      <c r="M11" s="21">
        <f>_xll.ITPMXL.Funktionen.IDSTATISTIKWERTMBAG(Mandant,AM11,AktuellesJahr&amp;AktuellerMonat,AktuellesJahr&amp;AktuellerMonat,Filiale,"*","BB1,BB2,BB3,BB4,BB5,BB6,BB7,BB8,BB9,IST","*","*","*","*","*","*","*","*")</f>
        <v>0</v>
      </c>
      <c r="AC11" s="16"/>
      <c r="AD11" s="16"/>
      <c r="AE11" s="16" t="s">
        <v>11</v>
      </c>
      <c r="AF11" s="16"/>
      <c r="AG11" s="16"/>
      <c r="AH11" s="16"/>
      <c r="AI11" s="16" t="s">
        <v>12</v>
      </c>
      <c r="AJ11" s="16"/>
      <c r="AK11" s="16"/>
      <c r="AL11" s="16"/>
      <c r="AM11" s="16" t="s">
        <v>13</v>
      </c>
      <c r="AN11" s="16"/>
      <c r="AO11" s="16"/>
      <c r="AP11" s="16"/>
      <c r="AQ11" s="16"/>
      <c r="AR11" s="16"/>
    </row>
    <row r="12" spans="1:44" x14ac:dyDescent="0.25">
      <c r="A12" s="22" t="s">
        <v>14</v>
      </c>
      <c r="B12" s="20"/>
      <c r="C12" s="38">
        <f t="shared" si="0"/>
        <v>0</v>
      </c>
      <c r="D12" s="38">
        <f t="shared" si="0"/>
        <v>0</v>
      </c>
      <c r="E12" s="21"/>
      <c r="F12" s="21">
        <f>_xll.ITPMXL.Funktionen.IDSTATISTIKWERTMBAG(Mandant,AE11,VorJahrKalkuliert&amp;"01",VorJahrKalkuliert&amp; VorMonat,Filiale,"*","BB1,BB2,BB3,BB4,BB5,BB6,BB7,BB8,BB9,IST","*","*","*","*","*","*","*","*")</f>
        <v>0</v>
      </c>
      <c r="G12" s="21">
        <f>_xll.ITPMXL.Funktionen.IDSTATISTIKWERTMBAG(Mandant,AE11,Vorjahr &amp;AktuellerMonat,Vorjahr &amp;AktuellerMonat,Filiale,"*","BB1,BB2,BB3,BB4,BB5,BB6,BB7,BB8,BB9,IST","*","*","*","*","*","*","*","*")</f>
        <v>0</v>
      </c>
      <c r="H12" s="21"/>
      <c r="I12" s="21">
        <f>_xll.ITPMXL.Funktionen.IDSTATISTIKWERTMBAG(Mandant,AI11,VorJahrKalkuliert&amp;"01",VorJahrKalkuliert&amp; VorMonat,Filiale,"*","BB1,BB2,BB3,BB4,BB5,BB6,BB7,BB8,BB9,IST","*","*","*","*","*","*","*","*")</f>
        <v>0</v>
      </c>
      <c r="J12" s="21">
        <f>_xll.ITPMXL.Funktionen.IDSTATISTIKWERTMBAG(Mandant,AI11,Vorjahr &amp;AktuellerMonat,Vorjahr &amp;AktuellerMonat,Filiale,"*","BB1,BB2,BB3,BB4,BB5,BB6,BB7,BB8,BB9,IST","*","*","*","*","*","*","*","*")</f>
        <v>0</v>
      </c>
      <c r="K12" s="21"/>
      <c r="L12" s="21">
        <f>_xll.ITPMXL.Funktionen.IDSTATISTIKWERTMBAG(Mandant,AM11,VorJahrKalkuliert&amp;"01",VorJahrKalkuliert&amp; VorMonat,Filiale,"*","BB1,BB2,BB3,BB4,BB5,BB6,BB7,BB8,BB9,IST","*","*","*","*","*","*","*","*")</f>
        <v>0</v>
      </c>
      <c r="M12" s="21">
        <f>_xll.ITPMXL.Funktionen.IDSTATISTIKWERTMBAG(Mandant,AM11,Vorjahr &amp;AktuellerMonat,Vorjahr &amp;AktuellerMonat,Filiale,"*","BB1,BB2,BB3,BB4,BB5,BB6,BB7,BB8,BB9,IST","*","*","*","*","*","*","*","*")</f>
        <v>0</v>
      </c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44" x14ac:dyDescent="0.25">
      <c r="A13" s="22" t="s">
        <v>15</v>
      </c>
      <c r="B13" s="22"/>
      <c r="C13" s="37">
        <f t="shared" si="0"/>
        <v>0</v>
      </c>
      <c r="D13" s="37">
        <f t="shared" si="0"/>
        <v>0</v>
      </c>
      <c r="E13" s="23"/>
      <c r="F13" s="23">
        <f>F11-F12</f>
        <v>0</v>
      </c>
      <c r="G13" s="23">
        <f>G11-G12</f>
        <v>0</v>
      </c>
      <c r="H13" s="23"/>
      <c r="I13" s="23">
        <f>I11-I12</f>
        <v>0</v>
      </c>
      <c r="J13" s="23">
        <f>J11-J12</f>
        <v>0</v>
      </c>
      <c r="K13" s="23"/>
      <c r="L13" s="23">
        <f>L11-L12</f>
        <v>0</v>
      </c>
      <c r="M13" s="23">
        <f>M11-M12</f>
        <v>0</v>
      </c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x14ac:dyDescent="0.25">
      <c r="A14" s="19" t="s">
        <v>16</v>
      </c>
      <c r="B14" s="20"/>
      <c r="C14" s="34">
        <f t="shared" si="0"/>
        <v>0</v>
      </c>
      <c r="D14" s="34">
        <f t="shared" si="0"/>
        <v>0</v>
      </c>
      <c r="E14" s="24"/>
      <c r="F14" s="24">
        <f>_xll.ITPMXL.Funktionen.XLMBAG(Mandant,"GROSSTURNOVER",AktuellesJahrKalkuliert&amp;"01",AktuellesJahrKalkuliert&amp; VorMonat,Filiale,VERKAUFNFPKW,"BB1,BB2,BB3,BB4,BB5,BB6,BB7,BB8,BB9,IST","*","*","*","*","*","*","*","*")</f>
        <v>0</v>
      </c>
      <c r="G14" s="24">
        <f>_xll.ITPMXL.Funktionen.XLMBAG(Mandant,"GROSSTURNOVER",AktuellesJahr&amp;AktuellerMonat,AktuellesJahr&amp;AktuellerMonat,Filiale,VERKAUFNFPKW,"BB1,BB2,BB3,BB4,BB5,BB6,BB7,BB8,BB9,IST","*","*","*","*","*","*","*","*")</f>
        <v>0</v>
      </c>
      <c r="H14" s="24"/>
      <c r="I14" s="24">
        <f>_xll.ITPMXL.Funktionen.XLMBAG(Mandant,"GROSSTURNOVER",AktuellesJahrKalkuliert&amp;"01",AktuellesJahrKalkuliert&amp; VorMonat,Filiale,VERKAUFNFTRAPO,"BB1,BB2,BB3,BB4,BB5,BB6,BB7,BB8,BB9,IST","*","*","*","*","*","*","*","*")</f>
        <v>0</v>
      </c>
      <c r="J14" s="24">
        <f>_xll.ITPMXL.Funktionen.XLMBAG(Mandant,"GROSSTURNOVER",AktuellesJahr&amp;AktuellerMonat,AktuellesJahr&amp;AktuellerMonat,Filiale,VERKAUFNFTRAPO,"BB1,BB2,BB3,BB4,BB5,BB6,BB7,BB8,BB9,IST","*","*","*","*","*","*","*","*")</f>
        <v>0</v>
      </c>
      <c r="K14" s="24"/>
      <c r="L14" s="24">
        <f>_xll.ITPMXL.Funktionen.XLMBAG(Mandant,"GROSSTURNOVER",AktuellesJahrKalkuliert&amp;"01",AktuellesJahrKalkuliert&amp; VorMonat,Filiale,VERKAUFNFLKW,"BB1,BB2,BB3,BB4,BB5,BB6,BB7,BB8,BB9,IST","*","*","*","*","*","*","*","*")</f>
        <v>0</v>
      </c>
      <c r="M14" s="24">
        <f>_xll.ITPMXL.Funktionen.XLMBAG(Mandant,"GROSSTURNOVER",AktuellesJahr&amp;AktuellerMonat,AktuellesJahr&amp;AktuellerMonat,Filiale,VERKAUFNFLKW,"BB1,BB2,BB3,BB4,BB5,BB6,BB7,BB8,BB9,IST","*","*","*","*","*","*","*","*")</f>
        <v>0</v>
      </c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1:44" x14ac:dyDescent="0.25">
      <c r="A15" s="22" t="s">
        <v>14</v>
      </c>
      <c r="B15" s="20"/>
      <c r="C15" s="34">
        <f t="shared" si="0"/>
        <v>0</v>
      </c>
      <c r="D15" s="34">
        <f t="shared" si="0"/>
        <v>0</v>
      </c>
      <c r="E15" s="24"/>
      <c r="F15" s="24">
        <f>_xll.ITPMXL.Funktionen.XLMBAG(Mandant,"GROSSTURNOVER",VorJahrKalkuliert&amp;"01",VorJahrKalkuliert&amp; VorMonat,Filiale,VERKAUFNFPKW,"BB1,BB2,BB3,BB4,BB5,BB6,BB7,BB8,BB9,IST","*","*","*","*","*","*","*","*")</f>
        <v>0</v>
      </c>
      <c r="G15" s="24">
        <f>_xll.ITPMXL.Funktionen.XLMBAG(Mandant,"GROSSTURNOVER",Vorjahr &amp;AktuellerMonat,Vorjahr &amp;AktuellerMonat,Filiale,VERKAUFNFPKW,"BB1,BB2,BB3,BB4,BB5,BB6,BB7,BB8,BB9,IST","*","*","*","*","*","*","*","*")</f>
        <v>0</v>
      </c>
      <c r="H15" s="24"/>
      <c r="I15" s="24">
        <f>_xll.ITPMXL.Funktionen.XLMBAG(Mandant,"GROSSTURNOVER",VorJahrKalkuliert&amp;"01",VorJahrKalkuliert&amp; VorMonat,Filiale,VERKAUFNFTRAPO,"BB1,BB2,BB3,BB4,BB5,BB6,BB7,BB8,BB9,IST","*","*","*","*","*","*","*","*")</f>
        <v>0</v>
      </c>
      <c r="J15" s="24">
        <f>_xll.ITPMXL.Funktionen.XLMBAG(Mandant,"GROSSTURNOVER",Vorjahr &amp;AktuellerMonat,Vorjahr &amp;AktuellerMonat,Filiale,VERKAUFNFTRAPO,"BB1,BB2,BB3,BB4,BB5,BB6,BB7,BB8,BB9,IST","*","*","*","*","*","*","*","*")</f>
        <v>0</v>
      </c>
      <c r="K15" s="24"/>
      <c r="L15" s="24">
        <f>_xll.ITPMXL.Funktionen.XLMBAG(Mandant,"GROSSTURNOVER",VorJahrKalkuliert&amp;"01",VorJahrKalkuliert&amp; VorMonat,Filiale,VERKAUFNFLKW,"BB1,BB2,BB3,BB4,BB5,BB6,BB7,BB8,BB9,IST","*","*","*","*","*","*","*","*")</f>
        <v>0</v>
      </c>
      <c r="M15" s="24">
        <f>_xll.ITPMXL.Funktionen.XLMBAG(Mandant,"GROSSTURNOVER",Vorjahr &amp;AktuellerMonat,Vorjahr &amp;AktuellerMonat,Filiale,VERKAUFNFLKW,"BB1,BB2,BB3,BB4,BB5,BB6,BB7,BB8,BB9,IST","*","*","*","*","*","*","*","*")</f>
        <v>0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</row>
    <row r="16" spans="1:44" x14ac:dyDescent="0.25">
      <c r="A16" s="22" t="s">
        <v>15</v>
      </c>
      <c r="B16" s="22"/>
      <c r="C16" s="35">
        <f t="shared" si="0"/>
        <v>0</v>
      </c>
      <c r="D16" s="35">
        <f t="shared" si="0"/>
        <v>0</v>
      </c>
      <c r="E16" s="25"/>
      <c r="F16" s="25">
        <f>F14-F15</f>
        <v>0</v>
      </c>
      <c r="G16" s="25">
        <f>G14-G15</f>
        <v>0</v>
      </c>
      <c r="H16" s="25"/>
      <c r="I16" s="25">
        <f>I14-I15</f>
        <v>0</v>
      </c>
      <c r="J16" s="25">
        <f>J14-J15</f>
        <v>0</v>
      </c>
      <c r="K16" s="25"/>
      <c r="L16" s="25">
        <f>L14-L15</f>
        <v>0</v>
      </c>
      <c r="M16" s="25">
        <f>M14-M15</f>
        <v>0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17" spans="1:44" x14ac:dyDescent="0.25">
      <c r="A17" s="19" t="s">
        <v>17</v>
      </c>
      <c r="B17" s="20"/>
      <c r="C17" s="34">
        <f>O17+I17+L17</f>
        <v>0</v>
      </c>
      <c r="D17" s="34">
        <f>P17+J17+M17</f>
        <v>0</v>
      </c>
      <c r="E17" s="24"/>
      <c r="F17" s="24">
        <f>_xll.ITPMXL.Funktionen.XLMBAG(Mandant,"CONTRIBUTION1",AktuellesJahrKalkuliert&amp;"01",AktuellesJahrKalkuliert&amp; VorMonat,Filiale,VERKAUFNFPKW,"BB1,BB2,BB3,BB4,BB5,BB6,BB7,BB8,BB9,IST","*","*","*","*","*","*","*","*")</f>
        <v>0</v>
      </c>
      <c r="G17" s="24">
        <f>_xll.ITPMXL.Funktionen.XLMBAG(Mandant,"CONTRIBUTION1",AktuellesJahr&amp;AktuellerMonat,AktuellesJahr&amp;AktuellerMonat,Filiale,VERKAUFNFPKW,"BB1,BB2,BB3,BB4,BB5,BB6,BB7,BB8,BB9,IST","*","*","*","*","*","*","*","*")</f>
        <v>0</v>
      </c>
      <c r="H17" s="24"/>
      <c r="I17" s="24">
        <f>_xll.ITPMXL.Funktionen.XLMBAG(Mandant,"CONTRIBUTION1",AktuellesJahrKalkuliert&amp;"01",AktuellesJahrKalkuliert&amp; VorMonat,Filiale,VERKAUFNFTRAPO,"BB1,BB2,BB3,BB4,BB5,BB6,BB7,BB8,BB9,IST","*","*","*","*","*","*","*","*")</f>
        <v>0</v>
      </c>
      <c r="J17" s="24">
        <f>_xll.ITPMXL.Funktionen.XLMBAG(Mandant,"CONTRIBUTION1",AktuellesJahr&amp;AktuellerMonat,AktuellesJahr&amp;AktuellerMonat,Filiale,VERKAUFNFTRAPO,"BB1,BB2,BB3,BB4,BB5,BB6,BB7,BB8,BB9,IST","*","*","*","*","*","*","*","*")</f>
        <v>0</v>
      </c>
      <c r="K17" s="24"/>
      <c r="L17" s="24">
        <f>_xll.ITPMXL.Funktionen.XLMBAG(Mandant,"CONTRIBUTION1",AktuellesJahrKalkuliert&amp;"01",AktuellesJahrKalkuliert&amp; VorMonat,Filiale,VERKAUFNFLKW,"BB1,BB2,BB3,BB4,BB5,BB6,BB7,BB8,BB9,IST","*","*","*","*","*","*","*","*")</f>
        <v>0</v>
      </c>
      <c r="M17" s="24">
        <f>_xll.ITPMXL.Funktionen.XLMBAG(Mandant,"CONTRIBUTION1",AktuellesJahr&amp;AktuellerMonat,AktuellesJahr&amp;AktuellerMonat,Filiale,VERKAUFNFLKW,"BB1,BB2,BB3,BB4,BB5,BB6,BB7,BB8,BB9,IST","*","*","*","*","*","*","*","*")</f>
        <v>0</v>
      </c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</row>
    <row r="18" spans="1:44" x14ac:dyDescent="0.25">
      <c r="A18" s="22" t="s">
        <v>14</v>
      </c>
      <c r="B18" s="20"/>
      <c r="C18" s="34">
        <f>O18+I18+L18</f>
        <v>0</v>
      </c>
      <c r="D18" s="34">
        <f>P18+J18+M18</f>
        <v>0</v>
      </c>
      <c r="E18" s="24"/>
      <c r="F18" s="24">
        <f>_xll.ITPMXL.Funktionen.XLMBAG(Mandant,"CONTRIBUTION1",VorJahrKalkuliert&amp;"01",VorJahrKalkuliert&amp; VorMonat,Filiale,VERKAUFNFPKW,"BB1,BB2,BB3,BB4,BB5,BB6,BB7,BB8,BB9,IST","*","*","*","*","*","*","*","*")</f>
        <v>0</v>
      </c>
      <c r="G18" s="24">
        <f>_xll.ITPMXL.Funktionen.XLMBAG(Mandant,"CONTRIBUTION1",VorJahrKalkuliert&amp;"01",VorJahrKalkuliert&amp; VorMonat,Filiale,VERKAUFNFPKW,"BB1,BB2,BB3,BB4,BB5,BB6,BB7,BB8,BB9,IST","*","*","*","*","*","*","*","*")</f>
        <v>0</v>
      </c>
      <c r="H18" s="24"/>
      <c r="I18" s="24">
        <f>_xll.ITPMXL.Funktionen.XLMBAG(Mandant,"CONTRIBUTION1",VorJahrKalkuliert&amp;"01",VorJahrKalkuliert&amp; VorMonat,Filiale,VERKAUFNFTRAPO,"BB1,BB2,BB3,BB4,BB5,BB6,BB7,BB8,BB9,IST","*","*","*","*","*","*","*","*")</f>
        <v>0</v>
      </c>
      <c r="J18" s="24">
        <f>_xll.ITPMXL.Funktionen.XLMBAG(Mandant,"CONTRIBUTION1",VorJahrKalkuliert&amp;"01",VorJahrKalkuliert&amp; VorMonat,Filiale,VERKAUFNFTRAPO,"BB1,BB2,BB3,BB4,BB5,BB6,BB7,BB8,BB9,IST","*","*","*","*","*","*","*","*")</f>
        <v>0</v>
      </c>
      <c r="K18" s="24"/>
      <c r="L18" s="24">
        <f>_xll.ITPMXL.Funktionen.XLMBAG(Mandant,"CONTRIBUTION1",VorJahrKalkuliert&amp;"01",VorJahrKalkuliert&amp; VorMonat,Filiale,VERKAUFNFLKW,"BB1,BB2,BB3,BB4,BB5,BB6,BB7,BB8,BB9,IST","*","*","*","*","*","*","*","*")</f>
        <v>0</v>
      </c>
      <c r="M18" s="24">
        <f>_xll.ITPMXL.Funktionen.XLMBAG(Mandant,"CONTRIBUTION1",VorJahrKalkuliert&amp;"01",VorJahrKalkuliert&amp; VorMonat,Filiale,VERKAUFNFLKW,"BB1,BB2,BB3,BB4,BB5,BB6,BB7,BB8,BB9,IST","*","*","*","*","*","*","*","*")</f>
        <v>0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x14ac:dyDescent="0.25">
      <c r="A19" s="22" t="s">
        <v>15</v>
      </c>
      <c r="B19" s="22"/>
      <c r="C19" s="35">
        <f>F19+I19+L19</f>
        <v>0</v>
      </c>
      <c r="D19" s="35">
        <f>G19+J19+M19</f>
        <v>0</v>
      </c>
      <c r="E19" s="25"/>
      <c r="F19" s="25">
        <f>F17-F18</f>
        <v>0</v>
      </c>
      <c r="G19" s="25">
        <f>G17-G18</f>
        <v>0</v>
      </c>
      <c r="H19" s="25"/>
      <c r="I19" s="25">
        <f>I17-I18</f>
        <v>0</v>
      </c>
      <c r="J19" s="25">
        <f>J17-J18</f>
        <v>0</v>
      </c>
      <c r="K19" s="25"/>
      <c r="L19" s="25">
        <f>L17-L18</f>
        <v>0</v>
      </c>
      <c r="M19" s="25">
        <f>M17-M18</f>
        <v>0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0" spans="1:44" ht="17.25" customHeight="1" x14ac:dyDescent="0.25">
      <c r="A20" s="18"/>
      <c r="B20" s="18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ht="15.75" x14ac:dyDescent="0.25">
      <c r="A21" s="17" t="s">
        <v>18</v>
      </c>
      <c r="B21" s="1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x14ac:dyDescent="0.25">
      <c r="A22" s="19" t="s">
        <v>10</v>
      </c>
      <c r="B22" s="20"/>
      <c r="C22" s="36">
        <f t="shared" ref="C22:C30" si="1">F22+I22+L22</f>
        <v>0</v>
      </c>
      <c r="D22" s="36">
        <f t="shared" ref="D22:D30" si="2">G22+J22+M22</f>
        <v>0</v>
      </c>
      <c r="E22" s="27"/>
      <c r="F22" s="27">
        <f>_xll.ITPMXL.Funktionen.IDSTATISTIKWERTMBAG(Mandant,AE22,AktuellesJahrKalkuliert&amp;"01",AktuellesJahrKalkuliert&amp; VorMonat,Filiale,"*","BB1,BB2,BB3,BB4,BB5,BB6,BB7,BB8,BB9,IST","*","*","*","*","*","*","*","*")</f>
        <v>0</v>
      </c>
      <c r="G22" s="27">
        <f>_xll.ITPMXL.Funktionen.IDSTATISTIKWERTMBAG(Mandant,AE22,AktuellesJahr&amp;AktuellerMonat,AktuellesJahr&amp;AktuellerMonat,Filiale,"*","BB1,BB2,BB3,BB4,BB5,BB6,BB7,BB8,BB9,IST","*","*","*","*","*","*","*","*")</f>
        <v>0</v>
      </c>
      <c r="H22" s="27"/>
      <c r="I22" s="27">
        <f>_xll.ITPMXL.Funktionen.IDSTATISTIKWERTMBAG(Mandant,AI22,AktuellesJahrKalkuliert&amp;"01",AktuellesJahrKalkuliert&amp; VorMonat,Filiale,"*","BB1,BB2,BB3,BB4,BB5,BB6,BB7,BB8,BB9,IST","*","*","*","*","*","*","*","*")</f>
        <v>0</v>
      </c>
      <c r="J22" s="27">
        <f>_xll.ITPMXL.Funktionen.IDSTATISTIKWERTMBAG(Mandant,AI22,AktuellesJahr&amp;AktuellerMonat,AktuellesJahr&amp;AktuellerMonat,Filiale,"*","BB1,BB2,BB3,BB4,BB5,BB6,BB7,BB8,BB9,IST","*","*","*","*","*","*","*","*")</f>
        <v>0</v>
      </c>
      <c r="K22" s="27"/>
      <c r="L22" s="27">
        <f>_xll.ITPMXL.Funktionen.IDSTATISTIKWERTMBAG(Mandant,AM22,AktuellesJahrKalkuliert&amp;"01",AktuellesJahrKalkuliert&amp; VorMonat,Filiale,"*","BB1,BB2,BB3,BB4,BB5,BB6,BB7,BB8,BB9,IST","*","*","*","*","*","*","*","*")</f>
        <v>0</v>
      </c>
      <c r="M22" s="27">
        <f>_xll.ITPMXL.Funktionen.IDSTATISTIKWERTMBAG(Mandant,AM22,AktuellesJahr&amp;AktuellerMonat,AktuellesJahr&amp;AktuellerMonat,Filiale,"*","BB1,BB2,BB3,BB4,BB5,BB6,BB7,BB8,BB9,IST","*","*","*","*","*","*","*","*")</f>
        <v>0</v>
      </c>
      <c r="AC22" s="16"/>
      <c r="AD22" s="16"/>
      <c r="AE22" s="16" t="s">
        <v>19</v>
      </c>
      <c r="AF22" s="16"/>
      <c r="AG22" s="16"/>
      <c r="AH22" s="16"/>
      <c r="AI22" s="16" t="s">
        <v>20</v>
      </c>
      <c r="AJ22" s="16"/>
      <c r="AK22" s="16"/>
      <c r="AL22" s="16"/>
      <c r="AM22" s="16" t="s">
        <v>21</v>
      </c>
      <c r="AN22" s="16"/>
      <c r="AO22" s="16"/>
      <c r="AP22" s="16"/>
      <c r="AQ22" s="16"/>
      <c r="AR22" s="16"/>
    </row>
    <row r="23" spans="1:44" x14ac:dyDescent="0.25">
      <c r="A23" s="22" t="s">
        <v>14</v>
      </c>
      <c r="B23" s="20"/>
      <c r="C23" s="36">
        <f t="shared" si="1"/>
        <v>0</v>
      </c>
      <c r="D23" s="36">
        <f t="shared" si="2"/>
        <v>0</v>
      </c>
      <c r="E23" s="27"/>
      <c r="F23" s="27">
        <f>_xll.ITPMXL.Funktionen.IDSTATISTIKWERTMBAG(Mandant,AE22,VorJahrKalkuliert&amp;"01",VorJahrKalkuliert&amp; VorMonat,Filiale,"*","BB1,BB2,BB3,BB4,BB5,BB6,BB7,BB8,BB9,IST","*","*","*","*","*","*","*","*")</f>
        <v>0</v>
      </c>
      <c r="G23" s="27">
        <f>_xll.ITPMXL.Funktionen.IDSTATISTIKWERTMBAG(Mandant,AE22,Vorjahr &amp;AktuellerMonat,Vorjahr &amp;AktuellerMonat,Filiale,"*","BB1,BB2,BB3,BB4,BB5,BB6,BB7,BB8,BB9,IST","*","*","*","*","*","*","*","*")</f>
        <v>0</v>
      </c>
      <c r="H23" s="27"/>
      <c r="I23" s="27">
        <f>_xll.ITPMXL.Funktionen.IDSTATISTIKWERTMBAG(Mandant,AI22,VorJahrKalkuliert&amp;"01",VorJahrKalkuliert&amp; VorMonat,Filiale,"*","BB1,BB2,BB3,BB4,BB5,BB6,BB7,BB8,BB9,IST","*","*","*","*","*","*","*","*")</f>
        <v>0</v>
      </c>
      <c r="J23" s="27">
        <f>_xll.ITPMXL.Funktionen.IDSTATISTIKWERTMBAG(Mandant,AI22,Vorjahr &amp;AktuellerMonat,Vorjahr &amp;AktuellerMonat,Filiale,"*","BB1,BB2,BB3,BB4,BB5,BB6,BB7,BB8,BB9,IST","*","*","*","*","*","*","*","*")</f>
        <v>0</v>
      </c>
      <c r="K23" s="27"/>
      <c r="L23" s="27">
        <f>_xll.ITPMXL.Funktionen.IDSTATISTIKWERTMBAG(Mandant,AM22,VorJahrKalkuliert&amp;"01",VorJahrKalkuliert&amp; VorMonat,Filiale,"*","BB1,BB2,BB3,BB4,BB5,BB6,BB7,BB8,BB9,IST","*","*","*","*","*","*","*","*")</f>
        <v>0</v>
      </c>
      <c r="M23" s="27">
        <f>_xll.ITPMXL.Funktionen.IDSTATISTIKWERTMBAG(Mandant,AM22,Vorjahr &amp;AktuellerMonat,Vorjahr &amp;AktuellerMonat,Filiale,"*","BB1,BB2,BB3,BB4,BB5,BB6,BB7,BB8,BB9,IST","*","*","*","*","*","*","*","*")</f>
        <v>0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44" x14ac:dyDescent="0.25">
      <c r="A24" s="22" t="s">
        <v>15</v>
      </c>
      <c r="B24" s="22"/>
      <c r="C24" s="37">
        <f t="shared" si="1"/>
        <v>0</v>
      </c>
      <c r="D24" s="37">
        <f t="shared" si="2"/>
        <v>0</v>
      </c>
      <c r="E24" s="23"/>
      <c r="F24" s="23">
        <f>F22-F23</f>
        <v>0</v>
      </c>
      <c r="G24" s="23">
        <f>G22-G23</f>
        <v>0</v>
      </c>
      <c r="H24" s="23"/>
      <c r="I24" s="23">
        <f>I22-I23</f>
        <v>0</v>
      </c>
      <c r="J24" s="23">
        <f>J22-J23</f>
        <v>0</v>
      </c>
      <c r="K24" s="23"/>
      <c r="L24" s="23">
        <f>L22-L23</f>
        <v>0</v>
      </c>
      <c r="M24" s="23">
        <f>M22-M23</f>
        <v>0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44" x14ac:dyDescent="0.25">
      <c r="A25" s="19" t="s">
        <v>16</v>
      </c>
      <c r="B25" s="20"/>
      <c r="C25" s="34">
        <f t="shared" si="1"/>
        <v>0</v>
      </c>
      <c r="D25" s="34">
        <f t="shared" si="2"/>
        <v>0</v>
      </c>
      <c r="E25" s="24"/>
      <c r="F25" s="24">
        <f>_xll.ITPMXL.Funktionen.XLMBAG(Mandant,"GROSSTURNOVER",AktuellesJahrKalkuliert&amp;"01",AktuellesJahrKalkuliert&amp; VorMonat,Filiale,VERKAUFGFPKW,"BB1,BB2,BB3,BB4,BB5,BB6,BB7,BB8,BB9,IST","*","*","*","*","*","*","*","*")</f>
        <v>0</v>
      </c>
      <c r="G25" s="24">
        <f>_xll.ITPMXL.Funktionen.XLMBAG(Mandant,"GROSSTURNOVER",AktuellesJahr&amp;AktuellerMonat,AktuellesJahr&amp;AktuellerMonat,Filiale,VERKAUFGFPKW,"BB1,BB2,BB3,BB4,BB5,BB6,BB7,BB8,BB9,IST","*","*","*","*","*","*","*","*")</f>
        <v>0</v>
      </c>
      <c r="H25" s="24"/>
      <c r="I25" s="24">
        <f>_xll.ITPMXL.Funktionen.XLMBAG(Mandant,"GROSSTURNOVER",AktuellesJahrKalkuliert&amp;"01",AktuellesJahrKalkuliert&amp; VorMonat,Filiale,VERKAUFGFTRAPO,"BB1,BB2,BB3,BB4,BB5,BB6,BB7,BB8,BB9,IST","*","*","*","*","*","*","*","*")</f>
        <v>0</v>
      </c>
      <c r="J25" s="24">
        <f>_xll.ITPMXL.Funktionen.XLMBAG(Mandant,"GROSSTURNOVER",AktuellesJahr&amp;AktuellerMonat,AktuellesJahr&amp;AktuellerMonat,Filiale,VERKAUFGFTRAPO,"BB1,BB2,BB3,BB4,BB5,BB6,BB7,BB8,BB9,IST","*","*","*","*","*","*","*","*")</f>
        <v>0</v>
      </c>
      <c r="K25" s="24"/>
      <c r="L25" s="24">
        <f>_xll.ITPMXL.Funktionen.XLMBAG(Mandant,"GROSSTURNOVER",AktuellesJahrKalkuliert&amp;"01",AktuellesJahrKalkuliert&amp; VorMonat,Filiale,VERKAUFGFLKW,"BB1,BB2,BB3,BB4,BB5,BB6,BB7,BB8,BB9,IST","*","*","*","*","*","*","*","*")</f>
        <v>0</v>
      </c>
      <c r="M25" s="24">
        <f>_xll.ITPMXL.Funktionen.XLMBAG(Mandant,"GROSSTURNOVER",AktuellesJahr&amp;AktuellerMonat,AktuellesJahr&amp;AktuellerMonat,Filiale,VERKAUFGFLKW,"BB1,BB2,BB3,BB4,BB5,BB6,BB7,BB8,BB9,IST","*","*","*","*","*","*","*","*")</f>
        <v>0</v>
      </c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1:44" x14ac:dyDescent="0.25">
      <c r="A26" s="22" t="s">
        <v>14</v>
      </c>
      <c r="B26" s="20"/>
      <c r="C26" s="34">
        <f t="shared" si="1"/>
        <v>0</v>
      </c>
      <c r="D26" s="34">
        <f t="shared" si="2"/>
        <v>0</v>
      </c>
      <c r="E26" s="24"/>
      <c r="F26" s="24">
        <f>_xll.ITPMXL.Funktionen.XLMBAG(Mandant,"GROSSTURNOVER",VorJahrKalkuliert&amp;"01",VorJahrKalkuliert&amp; VorMonat,Filiale,VERKAUFGFPKW,"BB1,BB2,BB3,BB4,BB5,BB6,BB7,BB8,BB9,IST","*","*","*","*","*","*","*","*")</f>
        <v>0</v>
      </c>
      <c r="G26" s="24">
        <f>_xll.ITPMXL.Funktionen.XLMBAG(Mandant,"GROSSTURNOVER",Vorjahr &amp;AktuellerMonat,Vorjahr &amp;AktuellerMonat,Filiale,VERKAUFGFPKW,"BB1,BB2,BB3,BB4,BB5,BB6,BB7,BB8,BB9,IST","*","*","*","*","*","*","*","*")</f>
        <v>0</v>
      </c>
      <c r="H26" s="24"/>
      <c r="I26" s="24">
        <f>_xll.ITPMXL.Funktionen.XLMBAG(Mandant,"GROSSTURNOVER",VorJahrKalkuliert&amp;"01",VorJahrKalkuliert&amp; VorMonat,Filiale,VERKAUFNFTRAPO,"BB1,BB2,BB3,BB4,BB5,BB6,BB7,BB8,BB9,IST","*","*","*","*","*","*","*","*")</f>
        <v>0</v>
      </c>
      <c r="J26" s="24">
        <f>_xll.ITPMXL.Funktionen.XLMBAG(Mandant,"GROSSTURNOVER",Vorjahr &amp;AktuellerMonat,Vorjahr &amp;AktuellerMonat,Filiale,VERKAUFGFTRAPO,"BB1,BB2,BB3,BB4,BB5,BB6,BB7,BB8,BB9,IST","*","*","*","*","*","*","*","*")</f>
        <v>0</v>
      </c>
      <c r="K26" s="24"/>
      <c r="L26" s="24">
        <f>_xll.ITPMXL.Funktionen.XLMBAG(Mandant,"GROSSTURNOVER",VorJahrKalkuliert&amp;"01",VorJahrKalkuliert&amp; VorMonat,Filiale,VERKAUFGFLKW,"BB1,BB2,BB3,BB4,BB5,BB6,BB7,BB8,BB9,IST","*","*","*","*","*","*","*","*")</f>
        <v>0</v>
      </c>
      <c r="M26" s="24">
        <f>_xll.ITPMXL.Funktionen.XLMBAG(Mandant,"GROSSTURNOVER",Vorjahr &amp;AktuellerMonat,Vorjahr &amp;AktuellerMonat,Filiale,VERKAUFGFLKW,"BB1,BB2,BB3,BB4,BB5,BB6,BB7,BB8,BB9,IST","*","*","*","*","*","*","*","*")</f>
        <v>0</v>
      </c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1:44" x14ac:dyDescent="0.25">
      <c r="A27" s="22" t="s">
        <v>15</v>
      </c>
      <c r="B27" s="22"/>
      <c r="C27" s="35">
        <f t="shared" si="1"/>
        <v>0</v>
      </c>
      <c r="D27" s="35">
        <f t="shared" si="2"/>
        <v>0</v>
      </c>
      <c r="E27" s="25"/>
      <c r="F27" s="25">
        <f>F25-F26</f>
        <v>0</v>
      </c>
      <c r="G27" s="25">
        <f>G25-G26</f>
        <v>0</v>
      </c>
      <c r="H27" s="25"/>
      <c r="I27" s="25">
        <f>I25-I26</f>
        <v>0</v>
      </c>
      <c r="J27" s="25">
        <f>J25-J26</f>
        <v>0</v>
      </c>
      <c r="K27" s="25"/>
      <c r="L27" s="25">
        <f>L25-L26</f>
        <v>0</v>
      </c>
      <c r="M27" s="25">
        <f>M25-M26</f>
        <v>0</v>
      </c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1:44" x14ac:dyDescent="0.25">
      <c r="A28" s="19" t="s">
        <v>17</v>
      </c>
      <c r="B28" s="20"/>
      <c r="C28" s="34">
        <f t="shared" si="1"/>
        <v>0</v>
      </c>
      <c r="D28" s="34">
        <f t="shared" si="2"/>
        <v>0</v>
      </c>
      <c r="E28" s="24"/>
      <c r="F28" s="24">
        <f>_xll.ITPMXL.Funktionen.XLMBAG(Mandant,"CONTRIBUTION1",AktuellesJahrKalkuliert&amp;"01",AktuellesJahrKalkuliert&amp; VorMonat,Filiale,VERKAUFGFPKW,"BB1,BB2,BB3,BB4,BB5,BB6,BB7,BB8,BB9,IST","*","*","*","*","*","*","*","*")</f>
        <v>0</v>
      </c>
      <c r="G28" s="24">
        <f>_xll.ITPMXL.Funktionen.XLMBAG(Mandant,"CONTRIBUTION1",AktuellesJahr&amp;AktuellerMonat,AktuellesJahr&amp;AktuellerMonat,Filiale,VERKAUFGFPKW,"BB1,BB2,BB3,BB4,BB5,BB6,BB7,BB8,BB9,IST","*","*","*","*","*","*","*","*")</f>
        <v>0</v>
      </c>
      <c r="H28" s="24"/>
      <c r="I28" s="24">
        <f>_xll.ITPMXL.Funktionen.XLMBAG(Mandant,"CONTRIBUTION1",AktuellesJahrKalkuliert&amp;"01",AktuellesJahrKalkuliert&amp; VorMonat,Filiale,VERKAUFGFTRAPO,"BB1,BB2,BB3,BB4,BB5,BB6,BB7,BB8,BB9,IST","*","*","*","*","*","*","*","*")</f>
        <v>0</v>
      </c>
      <c r="J28" s="24">
        <f>_xll.ITPMXL.Funktionen.XLMBAG(Mandant,"CONTRIBUTION1",AktuellesJahr&amp;AktuellerMonat,AktuellesJahr&amp;AktuellerMonat,Filiale,VERKAUFGFTRAPO,"BB1,BB2,BB3,BB4,BB5,BB6,BB7,BB8,BB9,IST","*","*","*","*","*","*","*","*")</f>
        <v>0</v>
      </c>
      <c r="K28" s="24"/>
      <c r="L28" s="24">
        <f>_xll.ITPMXL.Funktionen.XLMBAG(Mandant,"CONTRIBUTION1",AktuellesJahrKalkuliert&amp;"01",AktuellesJahrKalkuliert&amp; VorMonat,Filiale,VERKAUFGFLKW,"BB1,BB2,BB3,BB4,BB5,BB6,BB7,BB8,BB9,IST","*","*","*","*","*","*","*","*")</f>
        <v>0</v>
      </c>
      <c r="M28" s="24">
        <f>_xll.ITPMXL.Funktionen.XLMBAG(Mandant,"CONTRIBUTION1",AktuellesJahr&amp;AktuellerMonat,AktuellesJahr&amp;AktuellerMonat,Filiale,VERKAUFGFLKW,"BB1,BB2,BB3,BB4,BB5,BB6,BB7,BB8,BB9,IST","*","*","*","*","*","*","*","*")</f>
        <v>0</v>
      </c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1:44" x14ac:dyDescent="0.25">
      <c r="A29" s="22" t="s">
        <v>14</v>
      </c>
      <c r="B29" s="20"/>
      <c r="C29" s="34">
        <f t="shared" si="1"/>
        <v>0</v>
      </c>
      <c r="D29" s="34">
        <f t="shared" si="2"/>
        <v>0</v>
      </c>
      <c r="E29" s="24"/>
      <c r="F29" s="24">
        <f>_xll.ITPMXL.Funktionen.XLMBAG(Mandant,"CONTRIBUTION1",VorJahrKalkuliert&amp;"01",VorJahrKalkuliert&amp; VorMonat,Filiale,VERKAUFGFPKW,"BB1,BB2,BB3,BB4,BB5,BB6,BB7,BB8,BB9,IST","*","*","*","*","*","*","*","*")</f>
        <v>0</v>
      </c>
      <c r="G29" s="24">
        <f>_xll.ITPMXL.Funktionen.XLMBAG(Mandant,"CONTRIBUTION1",VorJahrKalkuliert&amp;"01",VorJahrKalkuliert&amp; VorMonat,Filiale,VERKAUFGFPKW,"BB1,BB2,BB3,BB4,BB5,BB6,BB7,BB8,BB9,IST","*","*","*","*","*","*","*","*")</f>
        <v>0</v>
      </c>
      <c r="H29" s="24"/>
      <c r="I29" s="24">
        <f>_xll.ITPMXL.Funktionen.XLMBAG(Mandant,"CONTRIBUTION1",VorJahrKalkuliert&amp;"01",VorJahrKalkuliert&amp; VorMonat,Filiale,VERKAUFGFTRAPO,"BB1,BB2,BB3,BB4,BB5,BB6,BB7,BB8,BB9,IST","*","*","*","*","*","*","*","*")</f>
        <v>0</v>
      </c>
      <c r="J29" s="24">
        <f>_xll.ITPMXL.Funktionen.XLMBAG(Mandant,"CONTRIBUTION1",VorJahrKalkuliert&amp;"01",VorJahrKalkuliert&amp; VorMonat,Filiale,VERKAUFGFTRAPO,"BB1,BB2,BB3,BB4,BB5,BB6,BB7,BB8,BB9,IST","*","*","*","*","*","*","*","*")</f>
        <v>0</v>
      </c>
      <c r="K29" s="24"/>
      <c r="L29" s="24">
        <f>_xll.ITPMXL.Funktionen.XLMBAG(Mandant,"CONTRIBUTION1",VorJahrKalkuliert&amp;"01",VorJahrKalkuliert&amp; VorMonat,Filiale,VERKAUFGFLKW,"BB1,BB2,BB3,BB4,BB5,BB6,BB7,BB8,BB9,IST","*","*","*","*","*","*","*","*")</f>
        <v>0</v>
      </c>
      <c r="M29" s="24">
        <f>_xll.ITPMXL.Funktionen.XLMBAG(Mandant,"CONTRIBUTION1",VorJahrKalkuliert&amp;"01",VorJahrKalkuliert&amp; VorMonat,Filiale,VERKAUFGFLKW,"BB1,BB2,BB3,BB4,BB5,BB6,BB7,BB8,BB9,IST","*","*","*","*","*","*","*","*")</f>
        <v>0</v>
      </c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4" x14ac:dyDescent="0.25">
      <c r="A30" s="22" t="s">
        <v>15</v>
      </c>
      <c r="B30" s="22"/>
      <c r="C30" s="35">
        <f t="shared" si="1"/>
        <v>0</v>
      </c>
      <c r="D30" s="35">
        <f t="shared" si="2"/>
        <v>0</v>
      </c>
      <c r="E30" s="25"/>
      <c r="F30" s="25">
        <f>F28-F29</f>
        <v>0</v>
      </c>
      <c r="G30" s="25">
        <f>G28-G29</f>
        <v>0</v>
      </c>
      <c r="H30" s="25"/>
      <c r="I30" s="25">
        <f>I28-I29</f>
        <v>0</v>
      </c>
      <c r="J30" s="25">
        <f>J28-J29</f>
        <v>0</v>
      </c>
      <c r="K30" s="25"/>
      <c r="L30" s="25">
        <f>L28-L29</f>
        <v>0</v>
      </c>
      <c r="M30" s="25">
        <f>M28-M29</f>
        <v>0</v>
      </c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1:44" ht="17.25" customHeight="1" x14ac:dyDescent="0.25">
      <c r="A31" s="18"/>
      <c r="B31" s="1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</row>
    <row r="32" spans="1:44" ht="15.75" x14ac:dyDescent="0.25">
      <c r="A32" s="17" t="s">
        <v>22</v>
      </c>
      <c r="B32" s="1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pans="1:44" x14ac:dyDescent="0.25">
      <c r="A33" s="19" t="s">
        <v>23</v>
      </c>
      <c r="B33" s="20"/>
      <c r="C33" s="36">
        <f t="shared" ref="C33:C41" si="3">F33+I33+L33</f>
        <v>0</v>
      </c>
      <c r="D33" s="36">
        <f t="shared" ref="D33:D41" si="4">G33+J33+M33</f>
        <v>0</v>
      </c>
      <c r="E33" s="27"/>
      <c r="F33" s="27">
        <f>_xll.ITPMXL.Funktionen.IDSTATISTIKWERTMBAG(Mandant,AE33,AktuellesJahrKalkuliert&amp;"01",AktuellesJahrKalkuliert&amp; VorMonat,Filiale,"*","BB1,BB2,BB3,BB4,BB5,BB6,BB7,BB8,BB9,IST","*","*","*","*","*","*","*","*")</f>
        <v>0</v>
      </c>
      <c r="G33" s="27">
        <f>_xll.ITPMXL.Funktionen.IDSTATISTIKWERTMBAG(Mandant,AE33,AktuellesJahr&amp;AktuellerMonat,AktuellesJahr&amp;AktuellerMonat,Filiale,"*","BB1,BB2,BB3,BB4,BB5,BB6,BB7,BB8,BB9,IST","*","*","*","*","*","*","*","*")</f>
        <v>0</v>
      </c>
      <c r="H33" s="27"/>
      <c r="I33" s="27">
        <f>_xll.ITPMXL.Funktionen.IDSTATISTIKWERTMBAG(Mandant,AI33,AktuellesJahrKalkuliert&amp;"01",AktuellesJahrKalkuliert&amp; VorMonat,Filiale,"*","BB1,BB2,BB3,BB4,BB5,BB6,BB7,BB8,BB9,IST","*","*","*","*","*","*","*","*")</f>
        <v>0</v>
      </c>
      <c r="J33" s="27">
        <f>_xll.ITPMXL.Funktionen.IDSTATISTIKWERTMBAG(Mandant,AI33,AktuellesJahr&amp;AktuellerMonat,AktuellesJahr&amp;AktuellerMonat,Filiale,"*","BB1,BB2,BB3,BB4,BB5,BB6,BB7,BB8,BB9,IST","*","*","*","*","*","*","*","*")</f>
        <v>0</v>
      </c>
      <c r="K33" s="27"/>
      <c r="L33" s="27">
        <f>_xll.ITPMXL.Funktionen.IDSTATISTIKWERTMBAG(Mandant,AM33,AktuellesJahrKalkuliert&amp;"01",AktuellesJahrKalkuliert&amp; VorMonat,Filiale,"*","BB1,BB2,BB3,BB4,BB5,BB6,BB7,BB8,BB9,IST","*","*","*","*","*","*","*","*")</f>
        <v>0</v>
      </c>
      <c r="M33" s="27">
        <f>_xll.ITPMXL.Funktionen.IDSTATISTIKWERTMBAG(Mandant,AM33,AktuellesJahr&amp;AktuellerMonat,AktuellesJahr&amp;AktuellerMonat,Filiale,"*","BB1,BB2,BB3,BB4,BB5,BB6,BB7,BB8,BB9,IST","*","*","*","*","*","*","*","*")</f>
        <v>0</v>
      </c>
      <c r="AC33" s="16"/>
      <c r="AD33" s="16"/>
      <c r="AE33" s="16" t="s">
        <v>24</v>
      </c>
      <c r="AF33" s="16"/>
      <c r="AG33" s="16"/>
      <c r="AH33" s="16"/>
      <c r="AI33" s="16" t="s">
        <v>25</v>
      </c>
      <c r="AJ33" s="16"/>
      <c r="AK33" s="16"/>
      <c r="AL33" s="16"/>
      <c r="AM33" s="16" t="s">
        <v>26</v>
      </c>
      <c r="AN33" s="16"/>
      <c r="AO33" s="16"/>
      <c r="AP33" s="16"/>
      <c r="AQ33" s="16"/>
      <c r="AR33" s="16"/>
    </row>
    <row r="34" spans="1:44" x14ac:dyDescent="0.25">
      <c r="A34" s="22" t="s">
        <v>14</v>
      </c>
      <c r="B34" s="20"/>
      <c r="C34" s="36">
        <f t="shared" si="3"/>
        <v>0</v>
      </c>
      <c r="D34" s="36">
        <f t="shared" si="4"/>
        <v>0</v>
      </c>
      <c r="E34" s="27"/>
      <c r="F34" s="27">
        <f>_xll.ITPMXL.Funktionen.IDSTATISTIKWERTMBAG(Mandant,AE33,VorJahrKalkuliert&amp;"01",VorJahrKalkuliert&amp; VorMonat,Filiale,"*","BB1,BB2,BB3,BB4,BB5,BB6,BB7,BB8,BB9,IST","*","*","*","*","*","*","*","*")</f>
        <v>0</v>
      </c>
      <c r="G34" s="27">
        <f>_xll.ITPMXL.Funktionen.IDSTATISTIKWERTMBAG(Mandant,AE33,Vorjahr &amp;AktuellerMonat,Vorjahr &amp;AktuellerMonat,Filiale,"*","BB1,BB2,BB3,BB4,BB5,BB6,BB7,BB8,BB9,IST","*","*","*","*","*","*","*","*")</f>
        <v>0</v>
      </c>
      <c r="H34" s="27"/>
      <c r="I34" s="27">
        <f>_xll.ITPMXL.Funktionen.IDSTATISTIKWERTMBAG(Mandant,AI33,VorJahrKalkuliert&amp;"01",VorJahrKalkuliert&amp; VorMonat,Filiale,"*","BB1,BB2,BB3,BB4,BB5,BB6,BB7,BB8,BB9,IST","*","*","*","*","*","*","*","*")</f>
        <v>0</v>
      </c>
      <c r="J34" s="27">
        <f>_xll.ITPMXL.Funktionen.IDSTATISTIKWERTMBAG(Mandant,AI33,Vorjahr &amp;AktuellerMonat,Vorjahr &amp;AktuellerMonat,Filiale,"*","BB1,BB2,BB3,BB4,BB5,BB6,BB7,BB8,BB9,IST","*","*","*","*","*","*","*","*")</f>
        <v>0</v>
      </c>
      <c r="K34" s="27"/>
      <c r="L34" s="27">
        <f>_xll.ITPMXL.Funktionen.IDSTATISTIKWERTMBAG(Mandant,AM33,VorJahrKalkuliert&amp;"01",VorJahrKalkuliert&amp; VorMonat,Filiale,"*","BB1,BB2,BB3,BB4,BB5,BB6,BB7,BB8,BB9,IST","*","*","*","*","*","*","*","*")</f>
        <v>0</v>
      </c>
      <c r="M34" s="27">
        <f>_xll.ITPMXL.Funktionen.IDSTATISTIKWERTMBAG(Mandant,AM33,Vorjahr &amp;AktuellerMonat,Vorjahr &amp;AktuellerMonat,Filiale,"*","BB1,BB2,BB3,BB4,BB5,BB6,BB7,BB8,BB9,IST","*","*","*","*","*","*","*","*")</f>
        <v>0</v>
      </c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</row>
    <row r="35" spans="1:44" x14ac:dyDescent="0.25">
      <c r="A35" s="22" t="s">
        <v>15</v>
      </c>
      <c r="B35" s="22"/>
      <c r="C35" s="37">
        <f t="shared" si="3"/>
        <v>0</v>
      </c>
      <c r="D35" s="37">
        <f t="shared" si="4"/>
        <v>0</v>
      </c>
      <c r="E35" s="23"/>
      <c r="F35" s="23">
        <f>F33-F34</f>
        <v>0</v>
      </c>
      <c r="G35" s="23">
        <f>G33-G34</f>
        <v>0</v>
      </c>
      <c r="H35" s="23"/>
      <c r="I35" s="23">
        <f>I33-I34</f>
        <v>0</v>
      </c>
      <c r="J35" s="23">
        <f>J33-J34</f>
        <v>0</v>
      </c>
      <c r="K35" s="23"/>
      <c r="L35" s="23">
        <f>L33-L34</f>
        <v>0</v>
      </c>
      <c r="M35" s="23">
        <f>M33-M34</f>
        <v>0</v>
      </c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</row>
    <row r="36" spans="1:44" x14ac:dyDescent="0.25">
      <c r="A36" s="19" t="s">
        <v>16</v>
      </c>
      <c r="B36" s="20"/>
      <c r="C36" s="34">
        <f t="shared" si="3"/>
        <v>0</v>
      </c>
      <c r="D36" s="34">
        <f t="shared" si="4"/>
        <v>0</v>
      </c>
      <c r="E36" s="24"/>
      <c r="F36" s="24">
        <f>_xll.ITPMXL.Funktionen.XLMBAG(Mandant,"GROSSTURNOVER",AktuellesJahrKalkuliert&amp;"01",AktuellesJahrKalkuliert&amp; VorMonat,Filiale,WSPKW,"BB1,BB2,BB3,BB4,BB5,BB6,BB7,BB8,BB9,IST","*","*","*","*","*","*","*","*")</f>
        <v>0</v>
      </c>
      <c r="G36" s="24">
        <f>_xll.ITPMXL.Funktionen.XLMBAG(Mandant,"GROSSTURNOVER",AktuellesJahr&amp;AktuellerMonat,AktuellesJahr&amp;AktuellerMonat,Filiale,WSPKW,"BB1,BB2,BB3,BB4,BB5,BB6,BB7,BB8,BB9,IST","*","*","*","*","*","*","*","*")</f>
        <v>0</v>
      </c>
      <c r="H36" s="24"/>
      <c r="I36" s="24">
        <f>_xll.ITPMXL.Funktionen.XLMBAG(Mandant,"GROSSTURNOVER",AktuellesJahrKalkuliert&amp;"01",AktuellesJahrKalkuliert&amp; VorMonat,Filiale,WSTRAPO,"BB1,BB2,BB3,BB4,BB5,BB6,BB7,BB8,BB9,IST","*","*","*","*","*","*","*","*")</f>
        <v>0</v>
      </c>
      <c r="J36" s="24">
        <f>_xll.ITPMXL.Funktionen.XLMBAG(Mandant,"GROSSTURNOVER",AktuellesJahr&amp;AktuellerMonat,AktuellesJahr&amp;AktuellerMonat,Filiale,WSTRAPO,"BB1,BB2,BB3,BB4,BB5,BB6,BB7,BB8,BB9,IST","*","*","*","*","*","*","*","*")</f>
        <v>0</v>
      </c>
      <c r="K36" s="24"/>
      <c r="L36" s="24">
        <f>_xll.ITPMXL.Funktionen.XLMBAG(Mandant,"GROSSTURNOVER",AktuellesJahrKalkuliert&amp;"01",AktuellesJahrKalkuliert&amp; VorMonat,Filiale,WSLKW,"BB1,BB2,BB3,BB4,BB5,BB6,BB7,BB8,BB9,IST","*","*","*","*","*","*","*","*")</f>
        <v>0</v>
      </c>
      <c r="M36" s="24">
        <f>_xll.ITPMXL.Funktionen.XLMBAG(Mandant,"GROSSTURNOVER",AktuellesJahr&amp;AktuellerMonat,AktuellesJahr&amp;AktuellerMonat,Filiale,WSLKW,"BB1,BB2,BB3,BB4,BB5,BB6,BB7,BB8,BB9,IST","*","*","*","*","*","*","*","*")</f>
        <v>0</v>
      </c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</row>
    <row r="37" spans="1:44" x14ac:dyDescent="0.25">
      <c r="A37" s="22" t="s">
        <v>14</v>
      </c>
      <c r="B37" s="20"/>
      <c r="C37" s="34">
        <f t="shared" si="3"/>
        <v>0</v>
      </c>
      <c r="D37" s="34">
        <f t="shared" si="4"/>
        <v>0</v>
      </c>
      <c r="E37" s="24"/>
      <c r="F37" s="24">
        <f>_xll.ITPMXL.Funktionen.XLMBAG(Mandant,"GROSSTURNOVER",VorJahrKalkuliert&amp;"01",VorJahrKalkuliert&amp; VorMonat,Filiale,WSPKW,"BB1,BB2,BB3,BB4,BB5,BB6,BB7,BB8,BB9,IST","*","*","*","*","*","*","*","*")</f>
        <v>0</v>
      </c>
      <c r="G37" s="24">
        <f>_xll.ITPMXL.Funktionen.XLMBAG(Mandant,"GROSSTURNOVER",Vorjahr &amp;AktuellerMonat,Vorjahr &amp;AktuellerMonat,Filiale,WSPKW,"BB1,BB2,BB3,BB4,BB5,BB6,BB7,BB8,BB9,IST","*","*","*","*","*","*","*","*")</f>
        <v>0</v>
      </c>
      <c r="H37" s="24"/>
      <c r="I37" s="24">
        <f>_xll.ITPMXL.Funktionen.XLMBAG(Mandant,"GROSSTURNOVER",VorJahrKalkuliert&amp;"01",VorJahrKalkuliert&amp; VorMonat,Filiale,WSTRAPO,"BB1,BB2,BB3,BB4,BB5,BB6,BB7,BB8,BB9,IST","*","*","*","*","*","*","*","*")</f>
        <v>0</v>
      </c>
      <c r="J37" s="24">
        <f>_xll.ITPMXL.Funktionen.XLMBAG(Mandant,"GROSSTURNOVER",Vorjahr &amp;AktuellerMonat,Vorjahr &amp;AktuellerMonat,Filiale,WSTRAPO,"BB1,BB2,BB3,BB4,BB5,BB6,BB7,BB8,BB9,IST","*","*","*","*","*","*","*","*")</f>
        <v>0</v>
      </c>
      <c r="K37" s="24"/>
      <c r="L37" s="24">
        <f>_xll.ITPMXL.Funktionen.XLMBAG(Mandant,"GROSSTURNOVER",VorJahrKalkuliert&amp;"01",VorJahrKalkuliert&amp; VorMonat,Filiale,WSLKW,"BB1,BB2,BB3,BB4,BB5,BB6,BB7,BB8,BB9,IST","*","*","*","*","*","*","*","*")</f>
        <v>0</v>
      </c>
      <c r="M37" s="24">
        <f>_xll.ITPMXL.Funktionen.XLMBAG(Mandant,"GROSSTURNOVER",Vorjahr &amp;AktuellerMonat,Vorjahr &amp;AktuellerMonat,Filiale,WSLKW,"BB1,BB2,BB3,BB4,BB5,BB6,BB7,BB8,BB9,IST","*","*","*","*","*","*","*","*")</f>
        <v>0</v>
      </c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</row>
    <row r="38" spans="1:44" x14ac:dyDescent="0.25">
      <c r="A38" s="22" t="s">
        <v>15</v>
      </c>
      <c r="B38" s="22"/>
      <c r="C38" s="35">
        <f t="shared" si="3"/>
        <v>0</v>
      </c>
      <c r="D38" s="35">
        <f t="shared" si="4"/>
        <v>0</v>
      </c>
      <c r="E38" s="25"/>
      <c r="F38" s="25">
        <f>F36-F37</f>
        <v>0</v>
      </c>
      <c r="G38" s="25">
        <f>G36-G37</f>
        <v>0</v>
      </c>
      <c r="H38" s="25"/>
      <c r="I38" s="25">
        <f>I36-I37</f>
        <v>0</v>
      </c>
      <c r="J38" s="25">
        <f>J36-J37</f>
        <v>0</v>
      </c>
      <c r="K38" s="25"/>
      <c r="L38" s="25">
        <f>L36-L37</f>
        <v>0</v>
      </c>
      <c r="M38" s="25">
        <f>M36-M37</f>
        <v>0</v>
      </c>
    </row>
    <row r="39" spans="1:44" x14ac:dyDescent="0.25">
      <c r="A39" s="19" t="s">
        <v>17</v>
      </c>
      <c r="B39" s="20"/>
      <c r="C39" s="34">
        <f t="shared" si="3"/>
        <v>0</v>
      </c>
      <c r="D39" s="34">
        <f t="shared" si="4"/>
        <v>0</v>
      </c>
      <c r="E39" s="24"/>
      <c r="F39" s="24">
        <f>_xll.ITPMXL.Funktionen.XLMBAG(Mandant,"CONTRIBUTION1",AktuellesJahrKalkuliert&amp;"01",AktuellesJahrKalkuliert&amp; VorMonat,Filiale,WSPKW,"BB1,BB2,BB3,BB4,BB5,BB6,BB7,BB8,BB9,IST","*","*","*","*","*","*","*","*")</f>
        <v>0</v>
      </c>
      <c r="G39" s="24">
        <f>_xll.ITPMXL.Funktionen.XLMBAG(Mandant,"CONTRIBUTION1",AktuellesJahr&amp;AktuellerMonat,AktuellesJahr&amp;AktuellerMonat,Filiale,WSPKW,"BB1,BB2,BB3,BB4,BB5,BB6,BB7,BB8,BB9,IST","*","*","*","*","*","*","*","*")</f>
        <v>0</v>
      </c>
      <c r="H39" s="24"/>
      <c r="I39" s="24">
        <f>_xll.ITPMXL.Funktionen.XLMBAG(Mandant,"CONTRIBUTION1",AktuellesJahrKalkuliert&amp;"01",AktuellesJahrKalkuliert&amp; VorMonat,Filiale,WSTRAPO,"BB1,BB2,BB3,BB4,BB5,BB6,BB7,BB8,BB9,IST","*","*","*","*","*","*","*","*")</f>
        <v>0</v>
      </c>
      <c r="J39" s="24">
        <f>_xll.ITPMXL.Funktionen.XLMBAG(Mandant,"CONTRIBUTION1",AktuellesJahr&amp;AktuellerMonat,AktuellesJahr&amp;AktuellerMonat,Filiale,WSTRAPO,"BB1,BB2,BB3,BB4,BB5,BB6,BB7,BB8,BB9,IST","*","*","*","*","*","*","*","*")</f>
        <v>0</v>
      </c>
      <c r="K39" s="24"/>
      <c r="L39" s="24">
        <f>_xll.ITPMXL.Funktionen.XLMBAG(Mandant,"CONTRIBUTION1",AktuellesJahrKalkuliert&amp;"01",AktuellesJahrKalkuliert&amp; VorMonat,Filiale,WSLKW,"BB1,BB2,BB3,BB4,BB5,BB6,BB7,BB8,BB9,IST","*","*","*","*","*","*","*","*")</f>
        <v>0</v>
      </c>
      <c r="M39" s="24">
        <f>_xll.ITPMXL.Funktionen.XLMBAG(Mandant,"CONTRIBUTION1",AktuellesJahr&amp;AktuellerMonat,AktuellesJahr&amp;AktuellerMonat,Filiale,WSLKW,"BB1,BB2,BB3,BB4,BB5,BB6,BB7,BB8,BB9,IST","*","*","*","*","*","*","*","*")</f>
        <v>0</v>
      </c>
    </row>
    <row r="40" spans="1:44" x14ac:dyDescent="0.25">
      <c r="A40" s="22" t="s">
        <v>14</v>
      </c>
      <c r="B40" s="20"/>
      <c r="C40" s="34">
        <f t="shared" si="3"/>
        <v>0</v>
      </c>
      <c r="D40" s="34">
        <f t="shared" si="4"/>
        <v>0</v>
      </c>
      <c r="E40" s="24"/>
      <c r="F40" s="24">
        <f>_xll.ITPMXL.Funktionen.XLMBAG(Mandant,"CONTRIBUTION1",VorJahrKalkuliert&amp;"01",VorJahrKalkuliert&amp; VorMonat,Filiale,WSPKW,"BB1,BB2,BB3,BB4,BB5,BB6,BB7,BB8,BB9,IST","*","*","*","*","*","*","*","*")</f>
        <v>0</v>
      </c>
      <c r="G40" s="24">
        <f>_xll.ITPMXL.Funktionen.XLMBAG(Mandant,"CONTRIBUTION1",VorJahrKalkuliert&amp;"01",VorJahrKalkuliert&amp; VorMonat,Filiale,WSPKW,"BB1,BB2,BB3,BB4,BB5,BB6,BB7,BB8,BB9,IST","*","*","*","*","*","*","*","*")</f>
        <v>0</v>
      </c>
      <c r="H40" s="24"/>
      <c r="I40" s="24">
        <f>_xll.ITPMXL.Funktionen.XLMBAG(Mandant,"CONTRIBUTION1",VorJahrKalkuliert&amp;"01",VorJahrKalkuliert&amp; VorMonat,Filiale,WSTRAPO,"BB1,BB2,BB3,BB4,BB5,BB6,BB7,BB8,BB9,IST","*","*","*","*","*","*","*","*")</f>
        <v>0</v>
      </c>
      <c r="J40" s="24">
        <f>_xll.ITPMXL.Funktionen.XLMBAG(Mandant,"CONTRIBUTION1",VorJahrKalkuliert&amp;"01",VorJahrKalkuliert&amp; VorMonat,Filiale,WSTRAPO,"BB1,BB2,BB3,BB4,BB5,BB6,BB7,BB8,BB9,IST","*","*","*","*","*","*","*","*")</f>
        <v>0</v>
      </c>
      <c r="K40" s="24"/>
      <c r="L40" s="24">
        <f>_xll.ITPMXL.Funktionen.XLMBAG(Mandant,"CONTRIBUTION1",VorJahrKalkuliert&amp;"01",VorJahrKalkuliert&amp; VorMonat,Filiale,WSLKW,"BB1,BB2,BB3,BB4,BB5,BB6,BB7,BB8,BB9,IST","*","*","*","*","*","*","*","*")</f>
        <v>0</v>
      </c>
      <c r="M40" s="24">
        <f>_xll.ITPMXL.Funktionen.XLMBAG(Mandant,"CONTRIBUTION1",VorJahrKalkuliert&amp;"01",VorJahrKalkuliert&amp; VorMonat,Filiale,WSLKW,"BB1,BB2,BB3,BB4,BB5,BB6,BB7,BB8,BB9,IST","*","*","*","*","*","*","*","*")</f>
        <v>0</v>
      </c>
    </row>
    <row r="41" spans="1:44" x14ac:dyDescent="0.25">
      <c r="A41" s="22" t="s">
        <v>15</v>
      </c>
      <c r="B41" s="22"/>
      <c r="C41" s="35">
        <f t="shared" si="3"/>
        <v>0</v>
      </c>
      <c r="D41" s="35">
        <f t="shared" si="4"/>
        <v>0</v>
      </c>
      <c r="E41" s="25"/>
      <c r="F41" s="25">
        <f>F39-F40</f>
        <v>0</v>
      </c>
      <c r="G41" s="25">
        <f>G39-G40</f>
        <v>0</v>
      </c>
      <c r="H41" s="25"/>
      <c r="I41" s="25">
        <f>I39-I40</f>
        <v>0</v>
      </c>
      <c r="J41" s="25">
        <f>J39-J40</f>
        <v>0</v>
      </c>
      <c r="K41" s="25"/>
      <c r="L41" s="25">
        <f>L39-L40</f>
        <v>0</v>
      </c>
      <c r="M41" s="25">
        <f>M39-M40</f>
        <v>0</v>
      </c>
    </row>
    <row r="42" spans="1:44" ht="17.25" customHeight="1" x14ac:dyDescent="0.25">
      <c r="A42" s="28"/>
      <c r="B42" s="1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44" ht="15.75" x14ac:dyDescent="0.25">
      <c r="A43" s="17" t="s">
        <v>27</v>
      </c>
      <c r="B43" s="1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44" x14ac:dyDescent="0.25">
      <c r="A44" s="19" t="s">
        <v>16</v>
      </c>
      <c r="B44" s="20"/>
      <c r="C44" s="34">
        <f t="shared" ref="C44:D49" si="5">F44+I44+L44</f>
        <v>0</v>
      </c>
      <c r="D44" s="34">
        <f t="shared" si="5"/>
        <v>0</v>
      </c>
      <c r="E44" s="24"/>
      <c r="F44" s="24">
        <f>_xll.ITPMXL.Funktionen.XLMBAG(Mandant,"GROSSTURNOVER",AktuellesJahrKalkuliert&amp;"01",AktuellesJahrKalkuliert&amp; VorMonat,Filiale,TZPKW,"BB1,BB2,BB3,BB4,BB5,BB6,BB7,BB8,BB9,IST","*","*","*","*","*","*","*","*")</f>
        <v>0</v>
      </c>
      <c r="G44" s="24">
        <f>_xll.ITPMXL.Funktionen.XLMBAG(Mandant,"GROSSTURNOVER",AktuellesJahr&amp;AktuellerMonat,AktuellesJahr&amp;AktuellerMonat,Filiale,TZPKW,"BB1,BB2,BB3,BB4,BB5,BB6,BB7,BB8,BB9,IST","*","*","*","*","*","*","*","*")</f>
        <v>0</v>
      </c>
      <c r="H44" s="24"/>
      <c r="I44" s="24">
        <f>_xll.ITPMXL.Funktionen.XLMBAG(Mandant,"GROSSTURNOVER",AktuellesJahrKalkuliert&amp;"01",AktuellesJahrKalkuliert&amp; VorMonat,Filiale,TZTRAPO,"BB1,BB2,BB3,BB4,BB5,BB6,BB7,BB8,BB9,IST","*","*","*","*","*","*","*","*")</f>
        <v>0</v>
      </c>
      <c r="J44" s="24">
        <f>_xll.ITPMXL.Funktionen.XLMBAG(Mandant,"GROSSTURNOVER",AktuellesJahr&amp;AktuellerMonat,AktuellesJahr&amp;AktuellerMonat,Filiale,TZTRAPO,"BB1,BB2,BB3,BB4,BB5,BB6,BB7,BB8,BB9,IST","*","*","*","*","*","*","*","*")</f>
        <v>0</v>
      </c>
      <c r="K44" s="24"/>
      <c r="L44" s="24">
        <f>_xll.ITPMXL.Funktionen.XLMBAG(Mandant,"GROSSTURNOVER",AktuellesJahrKalkuliert&amp;"01",AktuellesJahrKalkuliert&amp; VorMonat,Filiale,TZLKW,"BB1,BB2,BB3,BB4,BB5,BB6,BB7,BB8,BB9,IST","*","*","*","*","*","*","*","*")</f>
        <v>0</v>
      </c>
      <c r="M44" s="24">
        <f>_xll.ITPMXL.Funktionen.XLMBAG(Mandant,"GROSSTURNOVER",AktuellesJahr&amp;AktuellerMonat,AktuellesJahr&amp;AktuellerMonat,Filiale,TZLKW,"BB1,BB2,BB3,BB4,BB5,BB6,BB7,BB8,BB9,IST","*","*","*","*","*","*","*","*")</f>
        <v>0</v>
      </c>
    </row>
    <row r="45" spans="1:44" x14ac:dyDescent="0.25">
      <c r="A45" s="22" t="s">
        <v>14</v>
      </c>
      <c r="B45" s="20"/>
      <c r="C45" s="34">
        <f t="shared" si="5"/>
        <v>0</v>
      </c>
      <c r="D45" s="34">
        <f t="shared" si="5"/>
        <v>0</v>
      </c>
      <c r="E45" s="24"/>
      <c r="F45" s="24">
        <f>_xll.ITPMXL.Funktionen.XLMBAG(Mandant,"GROSSTURNOVER",VorJahrKalkuliert&amp;"01",VorJahrKalkuliert&amp; VorMonat,Filiale,TZPKW,"BB1,BB2,BB3,BB4,BB5,BB6,BB7,BB8,BB9,IST","*","*","*","*","*","*","*","*")</f>
        <v>0</v>
      </c>
      <c r="G45" s="24">
        <f>_xll.ITPMXL.Funktionen.XLMBAG(Mandant,"GROSSTURNOVER",Vorjahr &amp;AktuellerMonat,Vorjahr &amp;AktuellerMonat,Filiale,TZPKW,"BB1,BB2,BB3,BB4,BB5,BB6,BB7,BB8,BB9,IST","*","*","*","*","*","*","*","*")</f>
        <v>0</v>
      </c>
      <c r="H45" s="24"/>
      <c r="I45" s="24">
        <f>_xll.ITPMXL.Funktionen.XLMBAG(Mandant,"GROSSTURNOVER",VorJahrKalkuliert&amp;"01",VorJahrKalkuliert&amp; VorMonat,Filiale,TZTRAPO,"BB1,BB2,BB3,BB4,BB5,BB6,BB7,BB8,BB9,IST","*","*","*","*","*","*","*","*")</f>
        <v>0</v>
      </c>
      <c r="J45" s="24">
        <f>_xll.ITPMXL.Funktionen.XLMBAG(Mandant,"GROSSTURNOVER",Vorjahr &amp;AktuellerMonat,Vorjahr &amp;AktuellerMonat,Filiale,TZTRAPO,"BB1,BB2,BB3,BB4,BB5,BB6,BB7,BB8,BB9,IST","*","*","*","*","*","*","*","*")</f>
        <v>0</v>
      </c>
      <c r="K45" s="24"/>
      <c r="L45" s="24">
        <f>_xll.ITPMXL.Funktionen.XLMBAG(Mandant,"GROSSTURNOVER",VorJahrKalkuliert&amp;"01",VorJahrKalkuliert&amp; VorMonat,Filiale,TZLKW,"BB1,BB2,BB3,BB4,BB5,BB6,BB7,BB8,BB9,IST","*","*","*","*","*","*","*","*")</f>
        <v>0</v>
      </c>
      <c r="M45" s="24">
        <f>_xll.ITPMXL.Funktionen.XLMBAG(Mandant,"GROSSTURNOVER",Vorjahr &amp;AktuellerMonat,Vorjahr &amp;AktuellerMonat,Filiale,TZLKW,"BB1,BB2,BB3,BB4,BB5,BB6,BB7,BB8,BB9,IST","*","*","*","*","*","*","*","*")</f>
        <v>0</v>
      </c>
    </row>
    <row r="46" spans="1:44" x14ac:dyDescent="0.25">
      <c r="A46" s="22" t="s">
        <v>15</v>
      </c>
      <c r="B46" s="22"/>
      <c r="C46" s="35">
        <f t="shared" si="5"/>
        <v>0</v>
      </c>
      <c r="D46" s="35">
        <f t="shared" si="5"/>
        <v>0</v>
      </c>
      <c r="E46" s="25"/>
      <c r="F46" s="25">
        <f>F44-F45</f>
        <v>0</v>
      </c>
      <c r="G46" s="25">
        <f>G44-G45</f>
        <v>0</v>
      </c>
      <c r="H46" s="25"/>
      <c r="I46" s="25">
        <f>I44-I45</f>
        <v>0</v>
      </c>
      <c r="J46" s="25">
        <f>J44-J45</f>
        <v>0</v>
      </c>
      <c r="K46" s="25"/>
      <c r="L46" s="25">
        <f>L44-L45</f>
        <v>0</v>
      </c>
      <c r="M46" s="25">
        <f>M44-M45</f>
        <v>0</v>
      </c>
    </row>
    <row r="47" spans="1:44" x14ac:dyDescent="0.25">
      <c r="A47" s="19" t="s">
        <v>17</v>
      </c>
      <c r="B47" s="20"/>
      <c r="C47" s="34">
        <f t="shared" si="5"/>
        <v>0</v>
      </c>
      <c r="D47" s="34">
        <f t="shared" si="5"/>
        <v>0</v>
      </c>
      <c r="E47" s="24"/>
      <c r="F47" s="24">
        <f>_xll.ITPMXL.Funktionen.XLMBAG(Mandant,"CONTRIBUTION1",AktuellesJahrKalkuliert&amp;"01",AktuellesJahrKalkuliert&amp; VorMonat,Filiale,TZPKW,"BB1,BB2,BB3,BB4,BB5,BB6,BB7,BB8,BB9,IST","*","*","*","*","*","*","*","*")</f>
        <v>0</v>
      </c>
      <c r="G47" s="24">
        <f>_xll.ITPMXL.Funktionen.XLMBAG(Mandant,"CONTRIBUTION1",AktuellesJahr&amp;AktuellerMonat,AktuellesJahr&amp;AktuellerMonat,Filiale,TZPKW,"BB1,BB2,BB3,BB4,BB5,BB6,BB7,BB8,BB9,IST","*","*","*","*","*","*","*","*")</f>
        <v>0</v>
      </c>
      <c r="H47" s="24"/>
      <c r="I47" s="24">
        <f>_xll.ITPMXL.Funktionen.XLMBAG(Mandant,"CONTRIBUTION1",AktuellesJahrKalkuliert&amp;"01",AktuellesJahrKalkuliert&amp; VorMonat,Filiale,TZTRAPO,"BB1,BB2,BB3,BB4,BB5,BB6,BB7,BB8,BB9,IST","*","*","*","*","*","*","*","*")</f>
        <v>0</v>
      </c>
      <c r="J47" s="24">
        <f>_xll.ITPMXL.Funktionen.XLMBAG(Mandant,"CONTRIBUTION1",AktuellesJahr&amp;AktuellerMonat,AktuellesJahr&amp;AktuellerMonat,Filiale,TZTRAPO,"BB1,BB2,BB3,BB4,BB5,BB6,BB7,BB8,BB9,IST","*","*","*","*","*","*","*","*")</f>
        <v>0</v>
      </c>
      <c r="K47" s="24"/>
      <c r="L47" s="24">
        <f>_xll.ITPMXL.Funktionen.XLMBAG(Mandant,"CONTRIBUTION1",AktuellesJahrKalkuliert&amp;"01",AktuellesJahrKalkuliert&amp; VorMonat,Filiale,TZLKW,"BB1,BB2,BB3,BB4,BB5,BB6,BB7,BB8,BB9,IST","*","*","*","*","*","*","*","*")</f>
        <v>0</v>
      </c>
      <c r="M47" s="24">
        <f>_xll.ITPMXL.Funktionen.XLMBAG(Mandant,"CONTRIBUTION1",AktuellesJahr&amp;AktuellerMonat,AktuellesJahr&amp;AktuellerMonat,Filiale,TZLKW,"BB1,BB2,BB3,BB4,BB5,BB6,BB7,BB8,BB9,IST","*","*","*","*","*","*","*","*")</f>
        <v>0</v>
      </c>
    </row>
    <row r="48" spans="1:44" x14ac:dyDescent="0.25">
      <c r="A48" s="22" t="s">
        <v>14</v>
      </c>
      <c r="B48" s="20"/>
      <c r="C48" s="34">
        <f t="shared" si="5"/>
        <v>0</v>
      </c>
      <c r="D48" s="34">
        <f t="shared" si="5"/>
        <v>0</v>
      </c>
      <c r="E48" s="24"/>
      <c r="F48" s="24">
        <f>_xll.ITPMXL.Funktionen.XLMBAG(Mandant,"CONTRIBUTION1",VorJahrKalkuliert&amp;"01",VorJahrKalkuliert&amp; VorMonat,Filiale,TZPKW,"BB1,BB2,BB3,BB4,BB5,BB6,BB7,BB8,BB9,IST","*","*","*","*","*","*","*","*")</f>
        <v>0</v>
      </c>
      <c r="G48" s="24">
        <f>_xll.ITPMXL.Funktionen.XLMBAG(Mandant,"CONTRIBUTION1",Vorjahr &amp;AktuellerMonat,Vorjahr &amp;AktuellerMonat,Filiale,TZPKW,"BB1,BB2,BB3,BB4,BB5,BB6,BB7,BB8,BB9,IST","*","*","*","*","*","*","*","*")</f>
        <v>0</v>
      </c>
      <c r="H48" s="24"/>
      <c r="I48" s="24">
        <f>_xll.ITPMXL.Funktionen.XLMBAG(Mandant,"CONTRIBUTION1",VorJahrKalkuliert&amp;"01",VorJahrKalkuliert&amp; VorMonat,Filiale,TZTRAPO,"BB1,BB2,BB3,BB4,BB5,BB6,BB7,BB8,BB9,IST","*","*","*","*","*","*","*","*")</f>
        <v>0</v>
      </c>
      <c r="J48" s="24">
        <f>_xll.ITPMXL.Funktionen.XLMBAG(Mandant,"CONTRIBUTION1",Vorjahr &amp;AktuellerMonat,Vorjahr &amp;AktuellerMonat,Filiale,TZTRAPO,"BB1,BB2,BB3,BB4,BB5,BB6,BB7,BB8,BB9,IST","*","*","*","*","*","*","*","*")</f>
        <v>0</v>
      </c>
      <c r="K48" s="24"/>
      <c r="L48" s="24">
        <f>_xll.ITPMXL.Funktionen.XLMBAG(Mandant,"CONTRIBUTION1",VorJahrKalkuliert&amp;"01",VorJahrKalkuliert&amp; VorMonat,Filiale,TZLKW,"BB1,BB2,BB3,BB4,BB5,BB6,BB7,BB8,BB9,IST","*","*","*","*","*","*","*","*")</f>
        <v>0</v>
      </c>
      <c r="M48" s="24">
        <f>_xll.ITPMXL.Funktionen.XLMBAG(Mandant,"CONTRIBUTION1",Vorjahr &amp;AktuellerMonat,Vorjahr &amp;AktuellerMonat,Filiale,TZLKW,"BB1,BB2,BB3,BB4,BB5,BB6,BB7,BB8,BB9,IST","*","*","*","*","*","*","*","*")</f>
        <v>0</v>
      </c>
    </row>
    <row r="49" spans="1:13" x14ac:dyDescent="0.25">
      <c r="A49" s="22" t="s">
        <v>15</v>
      </c>
      <c r="B49" s="22"/>
      <c r="C49" s="35">
        <f t="shared" si="5"/>
        <v>0</v>
      </c>
      <c r="D49" s="35">
        <f t="shared" si="5"/>
        <v>0</v>
      </c>
      <c r="E49" s="25"/>
      <c r="F49" s="25">
        <f>F47-F48</f>
        <v>0</v>
      </c>
      <c r="G49" s="25">
        <f>G47-G48</f>
        <v>0</v>
      </c>
      <c r="H49" s="25"/>
      <c r="I49" s="25">
        <f>I47-I48</f>
        <v>0</v>
      </c>
      <c r="J49" s="25">
        <f>J47-J48</f>
        <v>0</v>
      </c>
      <c r="K49" s="25"/>
      <c r="L49" s="25">
        <f>L47-L48</f>
        <v>0</v>
      </c>
      <c r="M49" s="25">
        <f>M47-M48</f>
        <v>0</v>
      </c>
    </row>
    <row r="50" spans="1:13" ht="17.25" customHeight="1" x14ac:dyDescent="0.25">
      <c r="A50" s="30"/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ht="15.75" x14ac:dyDescent="0.25">
      <c r="A51" s="17" t="s">
        <v>28</v>
      </c>
      <c r="B51" s="1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x14ac:dyDescent="0.25">
      <c r="A52" s="19" t="s">
        <v>29</v>
      </c>
      <c r="B52" s="20"/>
      <c r="C52" s="34">
        <f t="shared" ref="C52:C63" si="6">F52+I52+L52</f>
        <v>0</v>
      </c>
      <c r="D52" s="34">
        <f t="shared" ref="D52:D63" si="7">G52+J52+M52</f>
        <v>0</v>
      </c>
      <c r="E52" s="24"/>
      <c r="F52" s="24">
        <f>_xll.ITPMXL.Funktionen.XLMBAG(Mandant,"UMSATZERLOESE",AktuellesJahrKalkuliert&amp;"01",AktuellesJahrKalkuliert&amp; VorMonat,Filiale,PKW,"BB1,BB2,BB3,BB4,BB5,BB6,BB7,BB8,BB9,IST","*","*","*","*","*","*","*","*")</f>
        <v>0</v>
      </c>
      <c r="G52" s="24">
        <f>_xll.ITPMXL.Funktionen.XLMBAG(Mandant,"UMSATZERLOESE",AktuellesJahr&amp;AktuellerMonat,AktuellesJahr&amp;AktuellerMonat,Filiale,"*","BB1,BB2,BB3,BB4,BB5,BB6,BB7,BB8,BB9,IST","*","*","*","*","*","*","*","*")</f>
        <v>0</v>
      </c>
      <c r="H52" s="24"/>
      <c r="I52" s="24">
        <f>_xll.ITPMXL.Funktionen.XLMBAG(Mandant,"UMSATZERLOESE",AktuellesJahrKalkuliert&amp;"01",AktuellesJahrKalkuliert&amp; VorMonat,Filiale,TRAPO,"BB1,BB2,BB3,BB4,BB5,BB6,BB7,BB8,BB9,IST","*","*","*","*","*","*","*","*")</f>
        <v>0</v>
      </c>
      <c r="J52" s="24">
        <f>_xll.ITPMXL.Funktionen.XLMBAG(Mandant,"UMSATZERLOESE",AktuellesJahr&amp;AktuellerMonat,AktuellesJahr&amp;AktuellerMonat,Filiale,TRAPO,"BB1,BB2,BB3,BB4,BB5,BB6,BB7,BB8,BB9,IST","*","*","*","*","*","*","*","*")</f>
        <v>0</v>
      </c>
      <c r="K52" s="24"/>
      <c r="L52" s="24">
        <f>_xll.ITPMXL.Funktionen.XLMBAG(Mandant,"UMSATZERLOESE",AktuellesJahrKalkuliert&amp;"01",AktuellesJahrKalkuliert&amp; VorMonat,Filiale,LKW,"BB1,BB2,BB3,BB4,BB5,BB6,BB7,BB8,BB9,IST","*","*","*","*","*","*","*","*")</f>
        <v>0</v>
      </c>
      <c r="M52" s="24">
        <f>_xll.ITPMXL.Funktionen.XLMBAG(Mandant,"UMSATZERLOESE",AktuellesJahr&amp;AktuellerMonat,AktuellesJahr&amp;AktuellerMonat,Filiale,LKW,"BB1,BB2,BB3,BB4,BB5,BB6,BB7,BB8,BB9,IST","*","*","*","*","*","*","*","*")</f>
        <v>0</v>
      </c>
    </row>
    <row r="53" spans="1:13" x14ac:dyDescent="0.25">
      <c r="A53" s="22" t="s">
        <v>14</v>
      </c>
      <c r="B53" s="20"/>
      <c r="C53" s="34">
        <f t="shared" si="6"/>
        <v>0</v>
      </c>
      <c r="D53" s="34">
        <f t="shared" si="7"/>
        <v>0</v>
      </c>
      <c r="E53" s="24"/>
      <c r="F53" s="24">
        <f>_xll.ITPMXL.Funktionen.XLMBAG(Mandant,"UMSATZERLOESE",VorJahrKalkuliert&amp;"01",VorJahrKalkuliert&amp; VorMonat,Filiale,PKW,"BB1,BB2,BB3,BB4,BB5,BB6,BB7,BB8,BB9,IST","*","*","*","*","*","*","*","*")</f>
        <v>0</v>
      </c>
      <c r="G53" s="24">
        <f>_xll.ITPMXL.Funktionen.XLMBAG(Mandant,"UMSATZERLOESE",Vorjahr &amp;AktuellerMonat,Vorjahr &amp;AktuellerMonat,Filiale,PKW,"BB1,BB2,BB3,BB4,BB5,BB6,BB7,BB8,BB9,IST","*","*","*","*","*","*","*","*")</f>
        <v>0</v>
      </c>
      <c r="H53" s="24"/>
      <c r="I53" s="24">
        <f>_xll.ITPMXL.Funktionen.XLMBAG(Mandant,"UMSATZERLOESE",VorJahrKalkuliert&amp;"01",VorJahrKalkuliert&amp; VorMonat,Filiale,TRAPO,"BB1,BB2,BB3,BB4,BB5,BB6,BB7,BB8,BB9,IST","*","*","*","*","*","*","*","*")</f>
        <v>0</v>
      </c>
      <c r="J53" s="24">
        <f>_xll.ITPMXL.Funktionen.XLMBAG(Mandant,"UMSATZERLOESE",Vorjahr &amp;AktuellerMonat,Vorjahr &amp;AktuellerMonat,Filiale,TRAPO,"BB1,BB2,BB3,BB4,BB5,BB6,BB7,BB8,BB9,IST","*","*","*","*","*","*","*","*")</f>
        <v>0</v>
      </c>
      <c r="K53" s="24"/>
      <c r="L53" s="24">
        <f>_xll.ITPMXL.Funktionen.XLMBAG(Mandant,"UMSATZERLOESE",VorJahrKalkuliert&amp;"01",VorJahrKalkuliert&amp; VorMonat,Filiale,LKW,"BB1,BB2,BB3,BB4,BB5,BB6,BB7,BB8,BB9,IST","*","*","*","*","*","*","*","*")</f>
        <v>0</v>
      </c>
      <c r="M53" s="24">
        <f>_xll.ITPMXL.Funktionen.XLMBAG(Mandant,"UMSATZERLOESE",Vorjahr &amp;AktuellerMonat,Vorjahr &amp;AktuellerMonat,Filiale,LKW,"BB1,BB2,BB3,BB4,BB5,BB6,BB7,BB8,BB9,IST","*","*","*","*","*","*","*","*")</f>
        <v>0</v>
      </c>
    </row>
    <row r="54" spans="1:13" x14ac:dyDescent="0.25">
      <c r="A54" s="22" t="s">
        <v>15</v>
      </c>
      <c r="B54" s="22"/>
      <c r="C54" s="35">
        <f t="shared" si="6"/>
        <v>0</v>
      </c>
      <c r="D54" s="35">
        <f t="shared" si="7"/>
        <v>0</v>
      </c>
      <c r="E54" s="25"/>
      <c r="F54" s="25">
        <f t="shared" ref="F54:M54" si="8">F52-F53</f>
        <v>0</v>
      </c>
      <c r="G54" s="25">
        <f t="shared" si="8"/>
        <v>0</v>
      </c>
      <c r="H54" s="25"/>
      <c r="I54" s="25">
        <f t="shared" si="8"/>
        <v>0</v>
      </c>
      <c r="J54" s="25">
        <f t="shared" si="8"/>
        <v>0</v>
      </c>
      <c r="K54" s="25"/>
      <c r="L54" s="25">
        <f t="shared" si="8"/>
        <v>0</v>
      </c>
      <c r="M54" s="25">
        <f t="shared" si="8"/>
        <v>0</v>
      </c>
    </row>
    <row r="55" spans="1:13" x14ac:dyDescent="0.25">
      <c r="A55" s="19" t="s">
        <v>30</v>
      </c>
      <c r="B55" s="20"/>
      <c r="C55" s="34">
        <f t="shared" si="6"/>
        <v>0</v>
      </c>
      <c r="D55" s="34">
        <f t="shared" si="7"/>
        <v>0</v>
      </c>
      <c r="E55" s="24"/>
      <c r="F55" s="24">
        <f>_xll.ITPMXL.Funktionen.XLMBAG(Mandant,"Grossprofit",AktuellesJahrKalkuliert&amp;"01",AktuellesJahrKalkuliert&amp; VorMonat,Filiale,PKW,"BB1,BB2,BB3,BB4,BB5,BB6,BB7,BB8,BB9,IST","*","*","*","*","*","*","*","*")</f>
        <v>0</v>
      </c>
      <c r="G55" s="24">
        <f>_xll.ITPMXL.Funktionen.XLMBAG(Mandant,"GROSSPROFIT",AktuellesJahr&amp;AktuellerMonat,AktuellesJahr&amp;AktuellerMonat,Filiale,PKW,"BB1,BB2,BB3,BB4,BB5,BB6,BB7,BB8,BB9,IST","*","*","*","*","*","*","*","*")</f>
        <v>0</v>
      </c>
      <c r="H55" s="24"/>
      <c r="I55" s="24">
        <f>_xll.ITPMXL.Funktionen.XLMBAG(Mandant,"GROSSPROFIT",AktuellesJahrKalkuliert&amp;"01",AktuellesJahrKalkuliert&amp; VorMonat,Filiale,TRAPO,"BB1,BB2,BB3,BB4,BB5,BB6,BB7,BB8,BB9,IST","*","*","*","*","*","*","*","*")</f>
        <v>0</v>
      </c>
      <c r="J55" s="24">
        <f>_xll.ITPMXL.Funktionen.XLMBAG(Mandant,"GROSSPROFIT",AktuellesJahr&amp;AktuellerMonat,AktuellesJahr&amp;AktuellerMonat,Filiale,TRAPO,"BB1,BB2,BB3,BB4,BB5,BB6,BB7,BB8,BB9,IST","*","*","*","*","*","*","*","*")</f>
        <v>0</v>
      </c>
      <c r="K55" s="24"/>
      <c r="L55" s="24">
        <f>_xll.ITPMXL.Funktionen.XLMBAG(Mandant,"GROSSPROFIT",AktuellesJahrKalkuliert&amp;"01",AktuellesJahrKalkuliert&amp; VorMonat,Filiale,LKW,"BB1,BB2,BB3,BB4,BB5,BB6,BB7,BB8,BB9,IST","*","*","*","*","*","*","*","*")</f>
        <v>0</v>
      </c>
      <c r="M55" s="24">
        <f>_xll.ITPMXL.Funktionen.XLMBAG(Mandant,"GROSSPROFIT",AktuellesJahr&amp;AktuellerMonat,AktuellesJahr&amp;AktuellerMonat,Filiale,LKW,"BB1,BB2,BB3,BB4,BB5,BB6,BB7,BB8,BB9,IST","*","*","*","*","*","*","*","*")</f>
        <v>0</v>
      </c>
    </row>
    <row r="56" spans="1:13" x14ac:dyDescent="0.25">
      <c r="A56" s="22" t="s">
        <v>14</v>
      </c>
      <c r="B56" s="20"/>
      <c r="C56" s="34">
        <f t="shared" si="6"/>
        <v>0</v>
      </c>
      <c r="D56" s="34">
        <f t="shared" si="7"/>
        <v>0</v>
      </c>
      <c r="E56" s="24"/>
      <c r="F56" s="24">
        <f>_xll.ITPMXL.Funktionen.XLMBAG(Mandant,"GROSSPROFIT",VorJahrKalkuliert&amp;"01",VorJahrKalkuliert&amp; VorMonat,Filiale,PKW,"BB1,BB2,BB3,BB4,BB5,BB6,BB7,BB8,BB9,IST","*","*","*","*","*","*","*","*")</f>
        <v>0</v>
      </c>
      <c r="G56" s="24">
        <f>_xll.ITPMXL.Funktionen.XLMBAG(Mandant,"GROSSPROFIT",Vorjahr &amp;AktuellerMonat,Vorjahr &amp;AktuellerMonat,Filiale,"*","BB1,BB2,BB3,BB4,BB5,BB6,BB7,BB8,BB9,IST","*","*","*","*","*","*","*","*")</f>
        <v>0</v>
      </c>
      <c r="H56" s="24"/>
      <c r="I56" s="24">
        <f>_xll.ITPMXL.Funktionen.XLMBAG(Mandant,"GROSSPROFIT",VorJahrKalkuliert&amp;"01",VorJahrKalkuliert&amp; VorMonat,Filiale,TRAPO,"BB1,BB2,BB3,BB4,BB5,BB6,BB7,BB8,BB9,IST","*","*","*","*","*","*","*","*")</f>
        <v>0</v>
      </c>
      <c r="J56" s="24">
        <f>_xll.ITPMXL.Funktionen.XLMBAG(Mandant,"GROSSPROFIT",Vorjahr &amp;AktuellerMonat,Vorjahr &amp;AktuellerMonat,Filiale,TRAPO,"BB1,BB2,BB3,BB4,BB5,BB6,BB7,BB8,BB9,IST","*","*","*","*","*","*","*","*")</f>
        <v>0</v>
      </c>
      <c r="K56" s="24"/>
      <c r="L56" s="24">
        <f>_xll.ITPMXL.Funktionen.XLMBAG(Mandant,"GROSSPROFIT",VorJahrKalkuliert&amp;"01",VorJahrKalkuliert&amp; VorMonat,Filiale,LKW,"BB1,BB2,BB3,BB4,BB5,BB6,BB7,BB8,BB9,IST","*","*","*","*","*","*","*","*")</f>
        <v>0</v>
      </c>
      <c r="M56" s="24">
        <f>_xll.ITPMXL.Funktionen.XLMBAG(Mandant,"GROSSPROFIT",Vorjahr &amp;AktuellerMonat,Vorjahr &amp;AktuellerMonat,Filiale,LKW,"BB1,BB2,BB3,BB4,BB5,BB6,BB7,BB8,BB9,IST","*","*","*","*","*","*","*","*")</f>
        <v>0</v>
      </c>
    </row>
    <row r="57" spans="1:13" x14ac:dyDescent="0.25">
      <c r="A57" s="22" t="s">
        <v>15</v>
      </c>
      <c r="B57" s="22"/>
      <c r="C57" s="35">
        <f t="shared" si="6"/>
        <v>0</v>
      </c>
      <c r="D57" s="35">
        <f t="shared" si="7"/>
        <v>0</v>
      </c>
      <c r="E57" s="25"/>
      <c r="F57" s="25">
        <f t="shared" ref="F57:M63" si="9">F55-F56</f>
        <v>0</v>
      </c>
      <c r="G57" s="25">
        <f t="shared" si="9"/>
        <v>0</v>
      </c>
      <c r="H57" s="25"/>
      <c r="I57" s="25">
        <f t="shared" si="9"/>
        <v>0</v>
      </c>
      <c r="J57" s="25">
        <f t="shared" si="9"/>
        <v>0</v>
      </c>
      <c r="K57" s="25"/>
      <c r="L57" s="25">
        <f t="shared" si="9"/>
        <v>0</v>
      </c>
      <c r="M57" s="25">
        <f t="shared" si="9"/>
        <v>0</v>
      </c>
    </row>
    <row r="58" spans="1:13" x14ac:dyDescent="0.25">
      <c r="A58" s="19" t="s">
        <v>17</v>
      </c>
      <c r="B58" s="20"/>
      <c r="C58" s="34">
        <f t="shared" si="6"/>
        <v>0</v>
      </c>
      <c r="D58" s="34">
        <f t="shared" si="7"/>
        <v>0</v>
      </c>
      <c r="E58" s="24"/>
      <c r="F58" s="24">
        <f>_xll.ITPMXL.Funktionen.XLMBAG(Mandant,"CONTRIBUTION1",AktuellesJahrKalkuliert&amp;"01",AktuellesJahrKalkuliert&amp; VorMonat,Filiale,PKW,"BB1,BB2,BB3,BB4,BB5,BB6,BB7,BB8,BB9,IST","*","*","*","*","*","*","*","*")</f>
        <v>0</v>
      </c>
      <c r="G58" s="24">
        <f>_xll.ITPMXL.Funktionen.XLMBAG(Mandant,"CONTRIBUTION1",AktuellesJahr&amp;AktuellerMonat,AktuellesJahr&amp;AktuellerMonat,Filiale,PKW,"BB1,BB2,BB3,BB4,BB5,BB6,BB7,BB8,BB9,IST","*","*","*","*","*","*","*","*")</f>
        <v>0</v>
      </c>
      <c r="H58" s="24"/>
      <c r="I58" s="24">
        <f>_xll.ITPMXL.Funktionen.XLMBAG(Mandant,"CONTRIBUTION1",AktuellesJahrKalkuliert&amp;"01",AktuellesJahrKalkuliert&amp; VorMonat,Filiale,TRAPO,"BB1,BB2,BB3,BB4,BB5,BB6,BB7,BB8,BB9,IST","*","*","*","*","*","*","*","*")</f>
        <v>0</v>
      </c>
      <c r="J58" s="24">
        <f>_xll.ITPMXL.Funktionen.XLMBAG(Mandant,"CONTRIBUTION1",AktuellesJahr&amp;AktuellerMonat,AktuellesJahr&amp;AktuellerMonat,Filiale,TRAPO,"BB1,BB2,BB3,BB4,BB5,BB6,BB7,BB8,BB9,IST","*","*","*","*","*","*","*","*")</f>
        <v>0</v>
      </c>
      <c r="K58" s="24"/>
      <c r="L58" s="24">
        <f>_xll.ITPMXL.Funktionen.XLMBAG(Mandant,"CONTRIBUTION1",AktuellesJahrKalkuliert&amp;"01",AktuellesJahrKalkuliert&amp; VorMonat,Filiale,LKW,"BB1,BB2,BB3,BB4,BB5,BB6,BB7,BB8,BB9,IST","*","*","*","*","*","*","*","*")</f>
        <v>0</v>
      </c>
      <c r="M58" s="24">
        <f>_xll.ITPMXL.Funktionen.XLMBAG(Mandant,"CONTRIBUTION1",AktuellesJahr&amp;AktuellerMonat,AktuellesJahr&amp;AktuellerMonat,Filiale,LKW,"BB1,BB2,BB3,BB4,BB5,BB6,BB7,BB8,BB9,IST","*","*","*","*","*","*","*","*")</f>
        <v>0</v>
      </c>
    </row>
    <row r="59" spans="1:13" x14ac:dyDescent="0.25">
      <c r="A59" s="22" t="s">
        <v>14</v>
      </c>
      <c r="B59" s="20"/>
      <c r="C59" s="34">
        <f t="shared" si="6"/>
        <v>0</v>
      </c>
      <c r="D59" s="34">
        <f t="shared" si="7"/>
        <v>0</v>
      </c>
      <c r="E59" s="24"/>
      <c r="F59" s="24">
        <f>_xll.ITPMXL.Funktionen.XLMBAG(Mandant,"CONTRIBUTION1",VorJahrKalkuliert&amp;"01",VorJahrKalkuliert&amp; VorMonat,Filiale,PKW,"BB1,BB2,BB3,BB4,BB5,BB6,BB7,BB8,BB9,IST","*","*","*","*","*","*","*","*")</f>
        <v>0</v>
      </c>
      <c r="G59" s="24">
        <f>_xll.ITPMXL.Funktionen.XLMBAG(Mandant,"CONTRIBUTION1",Vorjahr &amp;AktuellerMonat,Vorjahr &amp;AktuellerMonat,Filiale,"*","BB1,BB2,BB3,BB4,BB5,BB6,BB7,BB8,BB9,IST","*","*","*","*","*","*","*","*")</f>
        <v>0</v>
      </c>
      <c r="H59" s="24"/>
      <c r="I59" s="24">
        <f>_xll.ITPMXL.Funktionen.XLMBAG(Mandant,"CONTRIBUTION1",VorJahrKalkuliert&amp;"01",VorJahrKalkuliert&amp; VorMonat,Filiale,TRAPO,"BB1,BB2,BB3,BB4,BB5,BB6,BB7,BB8,BB9,IST","*","*","*","*","*","*","*","*")</f>
        <v>0</v>
      </c>
      <c r="J59" s="24">
        <f>_xll.ITPMXL.Funktionen.XLMBAG(Mandant,"CONTRIBUTION1",Vorjahr &amp;AktuellerMonat,Vorjahr &amp;AktuellerMonat,Filiale,TRAPO,"BB1,BB2,BB3,BB4,BB5,BB6,BB7,BB8,BB9,IST","*","*","*","*","*","*","*","*")</f>
        <v>0</v>
      </c>
      <c r="K59" s="24"/>
      <c r="L59" s="24">
        <f>_xll.ITPMXL.Funktionen.XLMBAG(Mandant,"CONTRIBUTION1",VorJahrKalkuliert&amp;"01",VorJahrKalkuliert&amp; VorMonat,Filiale,LKW,"BB1,BB2,BB3,BB4,BB5,BB6,BB7,BB8,BB9,IST","*","*","*","*","*","*","*","*")</f>
        <v>0</v>
      </c>
      <c r="M59" s="24">
        <f>_xll.ITPMXL.Funktionen.XLMBAG(Mandant,"CONTRIBUTION1",Vorjahr &amp;AktuellerMonat,Vorjahr &amp;AktuellerMonat,Filiale,LKW,"BB1,BB2,BB3,BB4,BB5,BB6,BB7,BB8,BB9,IST","*","*","*","*","*","*","*","*")</f>
        <v>0</v>
      </c>
    </row>
    <row r="60" spans="1:13" x14ac:dyDescent="0.25">
      <c r="A60" s="22" t="s">
        <v>15</v>
      </c>
      <c r="B60" s="22"/>
      <c r="C60" s="35">
        <f t="shared" si="6"/>
        <v>0</v>
      </c>
      <c r="D60" s="35">
        <f t="shared" si="7"/>
        <v>0</v>
      </c>
      <c r="E60" s="25"/>
      <c r="F60" s="25">
        <f t="shared" si="9"/>
        <v>0</v>
      </c>
      <c r="G60" s="25">
        <f t="shared" si="9"/>
        <v>0</v>
      </c>
      <c r="H60" s="25"/>
      <c r="I60" s="25">
        <f t="shared" si="9"/>
        <v>0</v>
      </c>
      <c r="J60" s="25">
        <f t="shared" si="9"/>
        <v>0</v>
      </c>
      <c r="K60" s="25"/>
      <c r="L60" s="25">
        <f t="shared" si="9"/>
        <v>0</v>
      </c>
      <c r="M60" s="25">
        <f t="shared" si="9"/>
        <v>0</v>
      </c>
    </row>
    <row r="61" spans="1:13" x14ac:dyDescent="0.25">
      <c r="A61" s="19" t="s">
        <v>31</v>
      </c>
      <c r="B61" s="20"/>
      <c r="C61" s="34">
        <f t="shared" si="6"/>
        <v>0</v>
      </c>
      <c r="D61" s="34">
        <f t="shared" si="7"/>
        <v>0</v>
      </c>
      <c r="E61" s="24"/>
      <c r="F61" s="24">
        <f>_xll.ITPMXL.Funktionen.XLMBAG(Mandant,"INTERCOMPANYPROFIT",AktuellesJahrKalkuliert&amp;"01",AktuellesJahrKalkuliert&amp; VorMonat,Filiale,PKW,"BB1,BB2,BB3,BB4,BB5,BB6,BB7,BB8,BB9,IST","*","*","*","*","*","*","*","*")</f>
        <v>0</v>
      </c>
      <c r="G61" s="24">
        <f>_xll.ITPMXL.Funktionen.XLMBAG(Mandant,"INTERCOMPANYPROFIT",AktuellesJahr&amp;AktuellerMonat,AktuellesJahr&amp;AktuellerMonat,Filiale,PKW,"BB1,BB2,BB3,BB4,BB5,BB6,BB7,BB8,BB9,IST","*","*","*","*","*","*","*","*")</f>
        <v>0</v>
      </c>
      <c r="H61" s="24"/>
      <c r="I61" s="24">
        <f>_xll.ITPMXL.Funktionen.XLMBAG(Mandant,"INTERCOMPANYPROFIT",AktuellesJahrKalkuliert&amp;"01",AktuellesJahrKalkuliert&amp; VorMonat,Filiale,TRAPO,"BB1,BB2,BB3,BB4,BB5,BB6,BB7,BB8,BB9,IST","*","*","*","*","*","*","*","*")</f>
        <v>0</v>
      </c>
      <c r="J61" s="24">
        <f>_xll.ITPMXL.Funktionen.XLMBAG(Mandant,"INTERCOMPANYPROFIT",AktuellesJahr&amp;AktuellerMonat,AktuellesJahr&amp;AktuellerMonat,Filiale,TRAPO,"BB1,BB2,BB3,BB4,BB5,BB6,BB7,BB8,BB9,IST","*","*","*","*","*","*","*","*")</f>
        <v>0</v>
      </c>
      <c r="K61" s="24"/>
      <c r="L61" s="24">
        <f>_xll.ITPMXL.Funktionen.XLMBAG(Mandant,"INTERCOMPANYPROFIT",AktuellesJahrKalkuliert&amp;"01",AktuellesJahrKalkuliert&amp; VorMonat,Filiale,LKW,"BB1,BB2,BB3,BB4,BB5,BB6,BB7,BB8,BB9,IST","*","*","*","*","*","*","*","*")</f>
        <v>0</v>
      </c>
      <c r="M61" s="24">
        <f>_xll.ITPMXL.Funktionen.XLMBAG(Mandant,"INTERCOMPANYPROFIT",AktuellesJahr&amp;AktuellerMonat,AktuellesJahr&amp;AktuellerMonat,Filiale,LKW,"BB1,BB2,BB3,BB4,BB5,BB6,BB7,BB8,BB9,IST","*","*","*","*","*","*","*","*")</f>
        <v>0</v>
      </c>
    </row>
    <row r="62" spans="1:13" x14ac:dyDescent="0.25">
      <c r="A62" s="22" t="s">
        <v>14</v>
      </c>
      <c r="B62" s="20"/>
      <c r="C62" s="34">
        <f t="shared" si="6"/>
        <v>0</v>
      </c>
      <c r="D62" s="34">
        <f t="shared" si="7"/>
        <v>0</v>
      </c>
      <c r="E62" s="24"/>
      <c r="F62" s="24">
        <f>_xll.ITPMXL.Funktionen.XLMBAG(Mandant,"INTERCOMPANYPROFIT",VorJahrKalkuliert&amp;"01",VorJahrKalkuliert&amp; VorMonat,Filiale,PKW,"BB1,BB2,BB3,BB4,BB5,BB6,BB7,BB8,BB9,IST","*","*","*","*","*","*","*","*")</f>
        <v>0</v>
      </c>
      <c r="G62" s="24">
        <f>_xll.ITPMXL.Funktionen.XLMBAG(Mandant,"INTERCOMPANYPROFIT",Vorjahr &amp;AktuellerMonat,Vorjahr &amp;AktuellerMonat,Filiale,"*","BB1,BB2,BB3,BB4,BB5,BB6,BB7,BB8,BB9,IST","*","*","*","*","*","*","*","*")</f>
        <v>0</v>
      </c>
      <c r="H62" s="24"/>
      <c r="I62" s="24">
        <f>_xll.ITPMXL.Funktionen.XLMBAG(Mandant,"INTERCOMPANYPROFIT",VorJahrKalkuliert&amp;"01",VorJahrKalkuliert&amp; VorMonat,Filiale,TRAPO,"BB1,BB2,BB3,BB4,BB5,BB6,BB7,BB8,BB9,IST","*","*","*","*","*","*","*","*")</f>
        <v>0</v>
      </c>
      <c r="J62" s="24">
        <f>_xll.ITPMXL.Funktionen.XLMBAG(Mandant,"INTERCOMPANYPROFIT",Vorjahr &amp;AktuellerMonat,Vorjahr &amp;AktuellerMonat,Filiale,TRAPO,"BB1,BB2,BB3,BB4,BB5,BB6,BB7,BB8,BB9,IST","*","*","*","*","*","*","*","*")</f>
        <v>0</v>
      </c>
      <c r="K62" s="24"/>
      <c r="L62" s="24">
        <f>_xll.ITPMXL.Funktionen.XLMBAG(Mandant,"INTERCOMPANYPROFIT",VorJahrKalkuliert&amp;"01",VorJahrKalkuliert&amp; VorMonat,Filiale,LKW,"BB1,BB2,BB3,BB4,BB5,BB6,BB7,BB8,BB9,IST","*","*","*","*","*","*","*","*")</f>
        <v>0</v>
      </c>
      <c r="M62" s="24">
        <f>_xll.ITPMXL.Funktionen.XLMBAG(Mandant,"INTERCOMPANYPROFIT",Vorjahr &amp;AktuellerMonat,Vorjahr &amp;AktuellerMonat,Filiale,LKW,"BB1,BB2,BB3,BB4,BB5,BB6,BB7,BB8,BB9,IST","*","*","*","*","*","*","*","*")</f>
        <v>0</v>
      </c>
    </row>
    <row r="63" spans="1:13" x14ac:dyDescent="0.25">
      <c r="A63" s="22" t="s">
        <v>15</v>
      </c>
      <c r="B63" s="22"/>
      <c r="C63" s="35">
        <f t="shared" si="6"/>
        <v>0</v>
      </c>
      <c r="D63" s="35">
        <f t="shared" si="7"/>
        <v>0</v>
      </c>
      <c r="E63" s="25"/>
      <c r="F63" s="25">
        <f t="shared" si="9"/>
        <v>0</v>
      </c>
      <c r="G63" s="25">
        <f t="shared" si="9"/>
        <v>0</v>
      </c>
      <c r="H63" s="25"/>
      <c r="I63" s="25">
        <f t="shared" si="9"/>
        <v>0</v>
      </c>
      <c r="J63" s="25">
        <f t="shared" si="9"/>
        <v>0</v>
      </c>
      <c r="K63" s="25"/>
      <c r="L63" s="25">
        <f t="shared" si="9"/>
        <v>0</v>
      </c>
      <c r="M63" s="25">
        <f t="shared" si="9"/>
        <v>0</v>
      </c>
    </row>
    <row r="64" spans="1:13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</sheetData>
  <conditionalFormatting sqref="C54:M54 C57:M57 C60:M60 C63:M63 C13:M13 C16:M16 C19:M19 C24:M24 C27:M27 C30:M30 C35:M35 C38:M38 C41:M41 C46:M46 C49:M50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7" right="0.7" top="0.85" bottom="0.85" header="0.30069439999999997" footer="0.30069439999999997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18"/>
  <sheetViews>
    <sheetView zoomScale="130" zoomScaleNormal="130" workbookViewId="0">
      <selection activeCell="H8" sqref="H8"/>
    </sheetView>
  </sheetViews>
  <sheetFormatPr baseColWidth="10" defaultColWidth="9.140625" defaultRowHeight="15" x14ac:dyDescent="0.25"/>
  <cols>
    <col min="2" max="6" width="17.5703125" bestFit="1" customWidth="1"/>
    <col min="7" max="7" width="21" customWidth="1"/>
    <col min="8" max="8" width="52" customWidth="1"/>
  </cols>
  <sheetData>
    <row r="3" spans="1:8" x14ac:dyDescent="0.25">
      <c r="A3" s="32" t="s">
        <v>32</v>
      </c>
      <c r="B3" s="32" t="s">
        <v>33</v>
      </c>
      <c r="D3" s="32" t="s">
        <v>1</v>
      </c>
      <c r="E3" s="32" t="s">
        <v>33</v>
      </c>
      <c r="G3" s="32" t="s">
        <v>33</v>
      </c>
      <c r="H3" s="32" t="s">
        <v>34</v>
      </c>
    </row>
    <row r="4" spans="1:8" x14ac:dyDescent="0.25">
      <c r="A4">
        <v>1</v>
      </c>
      <c r="B4" t="s">
        <v>35</v>
      </c>
      <c r="D4" t="s">
        <v>2</v>
      </c>
      <c r="E4" t="s">
        <v>36</v>
      </c>
      <c r="G4" t="s">
        <v>37</v>
      </c>
      <c r="H4" t="s">
        <v>38</v>
      </c>
    </row>
    <row r="5" spans="1:8" x14ac:dyDescent="0.25">
      <c r="A5">
        <v>2</v>
      </c>
      <c r="B5" t="s">
        <v>39</v>
      </c>
      <c r="D5">
        <v>1</v>
      </c>
      <c r="E5" t="s">
        <v>40</v>
      </c>
      <c r="G5" t="s">
        <v>41</v>
      </c>
      <c r="H5" t="s">
        <v>42</v>
      </c>
    </row>
    <row r="6" spans="1:8" x14ac:dyDescent="0.25">
      <c r="A6">
        <v>3</v>
      </c>
      <c r="B6" t="s">
        <v>43</v>
      </c>
      <c r="D6">
        <v>2</v>
      </c>
      <c r="E6" t="s">
        <v>44</v>
      </c>
      <c r="G6" t="s">
        <v>45</v>
      </c>
      <c r="H6" t="s">
        <v>46</v>
      </c>
    </row>
    <row r="7" spans="1:8" x14ac:dyDescent="0.25">
      <c r="A7">
        <v>4</v>
      </c>
      <c r="B7" t="s">
        <v>47</v>
      </c>
      <c r="D7">
        <v>3</v>
      </c>
      <c r="E7" t="s">
        <v>48</v>
      </c>
      <c r="G7" s="33" t="s">
        <v>49</v>
      </c>
      <c r="H7" t="s">
        <v>50</v>
      </c>
    </row>
    <row r="8" spans="1:8" x14ac:dyDescent="0.25">
      <c r="A8">
        <v>5</v>
      </c>
      <c r="B8" t="s">
        <v>51</v>
      </c>
      <c r="D8">
        <v>4</v>
      </c>
      <c r="E8" t="s">
        <v>52</v>
      </c>
      <c r="G8" s="33" t="s">
        <v>53</v>
      </c>
      <c r="H8" t="s">
        <v>54</v>
      </c>
    </row>
    <row r="9" spans="1:8" x14ac:dyDescent="0.25">
      <c r="A9">
        <v>6</v>
      </c>
      <c r="B9" t="s">
        <v>55</v>
      </c>
      <c r="G9" s="33" t="s">
        <v>56</v>
      </c>
      <c r="H9" t="s">
        <v>57</v>
      </c>
    </row>
    <row r="10" spans="1:8" x14ac:dyDescent="0.25">
      <c r="A10">
        <v>7</v>
      </c>
      <c r="B10" t="s">
        <v>58</v>
      </c>
      <c r="G10" t="s">
        <v>59</v>
      </c>
      <c r="H10" t="s">
        <v>60</v>
      </c>
    </row>
    <row r="11" spans="1:8" x14ac:dyDescent="0.25">
      <c r="A11">
        <v>8</v>
      </c>
      <c r="B11" t="s">
        <v>61</v>
      </c>
      <c r="G11" t="s">
        <v>62</v>
      </c>
      <c r="H11" t="s">
        <v>63</v>
      </c>
    </row>
    <row r="12" spans="1:8" x14ac:dyDescent="0.25">
      <c r="A12">
        <v>9</v>
      </c>
      <c r="B12" t="s">
        <v>64</v>
      </c>
      <c r="G12" t="s">
        <v>65</v>
      </c>
      <c r="H12" t="s">
        <v>66</v>
      </c>
    </row>
    <row r="13" spans="1:8" x14ac:dyDescent="0.25">
      <c r="A13">
        <v>10</v>
      </c>
      <c r="B13" t="s">
        <v>67</v>
      </c>
      <c r="G13" t="s">
        <v>68</v>
      </c>
      <c r="H13" t="s">
        <v>69</v>
      </c>
    </row>
    <row r="14" spans="1:8" x14ac:dyDescent="0.25">
      <c r="A14">
        <v>11</v>
      </c>
      <c r="B14" t="s">
        <v>70</v>
      </c>
      <c r="G14" t="s">
        <v>71</v>
      </c>
      <c r="H14" t="s">
        <v>72</v>
      </c>
    </row>
    <row r="15" spans="1:8" x14ac:dyDescent="0.25">
      <c r="A15">
        <v>12</v>
      </c>
      <c r="B15" t="s">
        <v>73</v>
      </c>
      <c r="G15" t="s">
        <v>74</v>
      </c>
      <c r="H15" t="s">
        <v>75</v>
      </c>
    </row>
    <row r="16" spans="1:8" x14ac:dyDescent="0.25">
      <c r="G16" t="s">
        <v>6</v>
      </c>
      <c r="H16" t="s">
        <v>76</v>
      </c>
    </row>
    <row r="17" spans="7:8" x14ac:dyDescent="0.25">
      <c r="G17" t="s">
        <v>8</v>
      </c>
      <c r="H17" t="s">
        <v>77</v>
      </c>
    </row>
    <row r="18" spans="7:8" x14ac:dyDescent="0.25">
      <c r="G18" t="s">
        <v>7</v>
      </c>
      <c r="H18" t="s">
        <v>78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DataITPM>
  <Dashboard/>
  <ComboBoxEdit>
    <Cell>
      <Pos>B4</Pos>
      <Sheet>1</Sheet>
      <DefinedName>Monate</DefinedName>
    </Cell>
    <Cell>
      <Pos>B2</Pos>
      <Sheet>1</Sheet>
      <DefinedName>Filialen</DefinedName>
    </Cell>
  </ComboBoxEdit>
</DataITPM>
</file>

<file path=customXml/itemProps1.xml><?xml version="1.0" encoding="utf-8"?>
<ds:datastoreItem xmlns:ds="http://schemas.openxmlformats.org/officeDocument/2006/customXml" ds:itemID="{7797D40E-694A-48FF-9C72-12E1881A3F06}">
  <ds:schemaRefs>
    <ds:schemaRef ds:uri="http://schemas.microsoft.com/vsto/sampl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27</vt:i4>
      </vt:variant>
    </vt:vector>
  </HeadingPairs>
  <TitlesOfParts>
    <vt:vector size="29" baseType="lpstr">
      <vt:lpstr>Chefblatt 01</vt:lpstr>
      <vt:lpstr>Stammdaten</vt:lpstr>
      <vt:lpstr>AktuellerMonat</vt:lpstr>
      <vt:lpstr>AktuellesJahr</vt:lpstr>
      <vt:lpstr>AktuellesJahrKalkuliert</vt:lpstr>
      <vt:lpstr>'Chefblatt 01'!Druckbereich</vt:lpstr>
      <vt:lpstr>'Chefblatt 01'!Drucktitel</vt:lpstr>
      <vt:lpstr>Filiale</vt:lpstr>
      <vt:lpstr>Filialen</vt:lpstr>
      <vt:lpstr>LKW</vt:lpstr>
      <vt:lpstr>Mandant</vt:lpstr>
      <vt:lpstr>Monate</vt:lpstr>
      <vt:lpstr>PKW</vt:lpstr>
      <vt:lpstr>TRAPO</vt:lpstr>
      <vt:lpstr>TZLKW</vt:lpstr>
      <vt:lpstr>TZPKW</vt:lpstr>
      <vt:lpstr>TZTRAPO</vt:lpstr>
      <vt:lpstr>VERKAUFGFLKW</vt:lpstr>
      <vt:lpstr>VERKAUFGFPKW</vt:lpstr>
      <vt:lpstr>VERKAUFGFTRAPO</vt:lpstr>
      <vt:lpstr>VERKAUFNFLKW</vt:lpstr>
      <vt:lpstr>VERKAUFNFPKW</vt:lpstr>
      <vt:lpstr>VERKAUFNFTRAPO</vt:lpstr>
      <vt:lpstr>Vorjahr</vt:lpstr>
      <vt:lpstr>VorJahrKalkuliert</vt:lpstr>
      <vt:lpstr>VorMonat</vt:lpstr>
      <vt:lpstr>WSLKW</vt:lpstr>
      <vt:lpstr>WSPKW</vt:lpstr>
      <vt:lpstr>WSTRAPO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Möser</dc:creator>
  <cp:lastModifiedBy>Holger Möser</cp:lastModifiedBy>
  <cp:lastPrinted>2022-09-01T06:47:29Z</cp:lastPrinted>
  <dcterms:created xsi:type="dcterms:W3CDTF">2020-07-11T10:34:39Z</dcterms:created>
  <dcterms:modified xsi:type="dcterms:W3CDTF">2023-10-24T09:37:40Z</dcterms:modified>
</cp:coreProperties>
</file>